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6380" windowHeight="8190" tabRatio="449" activeTab="2"/>
  </bookViews>
  <sheets>
    <sheet name="Arkusz4" sheetId="1" r:id="rId1"/>
    <sheet name="PRZYCHODY 2016" sheetId="2" r:id="rId2"/>
    <sheet name="WYDATKI 2016" sheetId="3" r:id="rId3"/>
    <sheet name="WYNAGRODZENIA" sheetId="4" r:id="rId4"/>
    <sheet name="projekt wydatków 2017" sheetId="5" r:id="rId5"/>
    <sheet name="projekt 2017 dochody" sheetId="6" r:id="rId6"/>
  </sheets>
  <definedNames>
    <definedName name="Excel_BuiltIn__FilterDatabase">'WYDATKI 2016'!$A$1:$AB$71</definedName>
    <definedName name="Excel_BuiltIn__FilterDatabase_1">'WYDATKI 2016'!$A$1:$AB$71</definedName>
    <definedName name="_xlnm.Print_Area" localSheetId="1">'PRZYCHODY 2016'!$A$1:$F$20</definedName>
    <definedName name="_xlnm.Print_Area" localSheetId="3">WYNAGRODZENIA!$A$1:$M$106</definedName>
  </definedNames>
  <calcPr calcId="145621"/>
</workbook>
</file>

<file path=xl/calcChain.xml><?xml version="1.0" encoding="utf-8"?>
<calcChain xmlns="http://schemas.openxmlformats.org/spreadsheetml/2006/main">
  <c r="B4" i="1" l="1"/>
  <c r="C4" i="1"/>
  <c r="D4" i="1"/>
  <c r="H4" i="1"/>
  <c r="B5" i="1"/>
  <c r="C5" i="1"/>
  <c r="D5" i="1"/>
  <c r="B6" i="1"/>
  <c r="H6" i="1"/>
  <c r="H7" i="1"/>
  <c r="I7" i="1" s="1"/>
  <c r="B8" i="1"/>
  <c r="C8" i="1"/>
  <c r="H8" i="1" s="1"/>
  <c r="I8" i="1" s="1"/>
  <c r="J8" i="1"/>
  <c r="B9" i="1"/>
  <c r="C9" i="1"/>
  <c r="H9" i="1" s="1"/>
  <c r="B10" i="1"/>
  <c r="C10" i="1"/>
  <c r="H10" i="1" s="1"/>
  <c r="I10" i="1" s="1"/>
  <c r="B11" i="1"/>
  <c r="C11" i="1"/>
  <c r="H11" i="1" s="1"/>
  <c r="D12" i="1"/>
  <c r="E12" i="1"/>
  <c r="F12" i="1"/>
  <c r="G12" i="1"/>
  <c r="B18" i="1"/>
  <c r="J18" i="1" s="1"/>
  <c r="K18" i="1"/>
  <c r="L18" i="1"/>
  <c r="M18" i="1"/>
  <c r="M26" i="1" s="1"/>
  <c r="Q18" i="1"/>
  <c r="J19" i="1"/>
  <c r="K19" i="1"/>
  <c r="L19" i="1"/>
  <c r="M19" i="1"/>
  <c r="Q19" i="1"/>
  <c r="J20" i="1"/>
  <c r="K20" i="1"/>
  <c r="S20" i="1" s="1"/>
  <c r="J21" i="1"/>
  <c r="K21" i="1"/>
  <c r="L21" i="1"/>
  <c r="Q21" i="1"/>
  <c r="J22" i="1"/>
  <c r="K22" i="1"/>
  <c r="L22" i="1"/>
  <c r="Q22" i="1"/>
  <c r="S22" i="1"/>
  <c r="J23" i="1"/>
  <c r="S23" i="1"/>
  <c r="J24" i="1"/>
  <c r="K24" i="1"/>
  <c r="K26" i="1" s="1"/>
  <c r="L24" i="1"/>
  <c r="Q24" i="1"/>
  <c r="J25" i="1"/>
  <c r="K25" i="1"/>
  <c r="L25" i="1"/>
  <c r="Q25" i="1"/>
  <c r="C26" i="1"/>
  <c r="D26" i="1"/>
  <c r="E26" i="1"/>
  <c r="F26" i="1"/>
  <c r="G26" i="1"/>
  <c r="H26" i="1"/>
  <c r="G27" i="1" s="1"/>
  <c r="I26" i="1"/>
  <c r="N26" i="1"/>
  <c r="O26" i="1"/>
  <c r="P26" i="1"/>
  <c r="R26" i="1"/>
  <c r="E33" i="1"/>
  <c r="F33" i="1"/>
  <c r="G33" i="1"/>
  <c r="G41" i="1" s="1"/>
  <c r="E34" i="1"/>
  <c r="F34" i="1"/>
  <c r="G34" i="1"/>
  <c r="E35" i="1"/>
  <c r="F35" i="1"/>
  <c r="G35" i="1"/>
  <c r="H35" i="1"/>
  <c r="E36" i="1"/>
  <c r="F36" i="1"/>
  <c r="G36" i="1"/>
  <c r="E37" i="1"/>
  <c r="F37" i="1"/>
  <c r="G37" i="1"/>
  <c r="E38" i="1"/>
  <c r="F38" i="1"/>
  <c r="G38" i="1"/>
  <c r="E39" i="1"/>
  <c r="F39" i="1"/>
  <c r="G39" i="1"/>
  <c r="J39" i="1"/>
  <c r="J41" i="1" s="1"/>
  <c r="E40" i="1"/>
  <c r="F40" i="1"/>
  <c r="G40" i="1"/>
  <c r="B41" i="1"/>
  <c r="B42" i="1" s="1"/>
  <c r="C41" i="1"/>
  <c r="D41" i="1"/>
  <c r="D42" i="1" s="1"/>
  <c r="I41" i="1"/>
  <c r="C42" i="1"/>
  <c r="B44" i="1"/>
  <c r="B48" i="1"/>
  <c r="D48" i="1"/>
  <c r="D58" i="1" s="1"/>
  <c r="L51" i="1" s="1"/>
  <c r="C49" i="1"/>
  <c r="D49" i="1"/>
  <c r="C50" i="1"/>
  <c r="D50" i="1"/>
  <c r="C51" i="1"/>
  <c r="D51" i="1"/>
  <c r="M52" i="1"/>
  <c r="N52" i="1"/>
  <c r="C56" i="1"/>
  <c r="D56" i="1"/>
  <c r="E58" i="1"/>
  <c r="F58" i="1"/>
  <c r="G58" i="1"/>
  <c r="B62" i="1"/>
  <c r="B63" i="1"/>
  <c r="C63" i="1" s="1"/>
  <c r="C64" i="1"/>
  <c r="D64" i="1"/>
  <c r="B65" i="1"/>
  <c r="C65" i="1" s="1"/>
  <c r="D65" i="1"/>
  <c r="C70" i="1"/>
  <c r="D70" i="1"/>
  <c r="C71" i="1"/>
  <c r="D71" i="1"/>
  <c r="E72" i="1"/>
  <c r="D6" i="6"/>
  <c r="D5" i="6" s="1"/>
  <c r="E6" i="6"/>
  <c r="F6" i="6"/>
  <c r="F5" i="6" s="1"/>
  <c r="F72" i="5" s="1"/>
  <c r="D14" i="6"/>
  <c r="E14" i="6"/>
  <c r="E5" i="6" s="1"/>
  <c r="F14" i="6"/>
  <c r="E7" i="5"/>
  <c r="G7" i="5"/>
  <c r="D7" i="5" s="1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D8" i="5"/>
  <c r="F8" i="5"/>
  <c r="D9" i="5"/>
  <c r="F9" i="5"/>
  <c r="D10" i="5"/>
  <c r="F10" i="5"/>
  <c r="D11" i="5"/>
  <c r="F11" i="5"/>
  <c r="D12" i="5"/>
  <c r="F12" i="5"/>
  <c r="E13" i="5"/>
  <c r="G13" i="5"/>
  <c r="H13" i="5"/>
  <c r="I13" i="5"/>
  <c r="J13" i="5"/>
  <c r="K13" i="5"/>
  <c r="L13" i="5"/>
  <c r="M13" i="5"/>
  <c r="N13" i="5"/>
  <c r="O13" i="5"/>
  <c r="P13" i="5"/>
  <c r="Q13" i="5"/>
  <c r="R13" i="5"/>
  <c r="T13" i="5"/>
  <c r="U13" i="5"/>
  <c r="V13" i="5"/>
  <c r="W13" i="5"/>
  <c r="X13" i="5"/>
  <c r="Y13" i="5"/>
  <c r="Z13" i="5"/>
  <c r="AA13" i="5"/>
  <c r="AB13" i="5"/>
  <c r="D14" i="5"/>
  <c r="F14" i="5"/>
  <c r="D15" i="5"/>
  <c r="F15" i="5"/>
  <c r="D16" i="5"/>
  <c r="F16" i="5"/>
  <c r="D17" i="5"/>
  <c r="F17" i="5"/>
  <c r="D18" i="5"/>
  <c r="F18" i="5"/>
  <c r="F19" i="5"/>
  <c r="S19" i="5"/>
  <c r="S13" i="5" s="1"/>
  <c r="D20" i="5"/>
  <c r="F20" i="5"/>
  <c r="D21" i="5"/>
  <c r="F21" i="5"/>
  <c r="D22" i="5"/>
  <c r="F22" i="5"/>
  <c r="D23" i="5"/>
  <c r="F23" i="5"/>
  <c r="D24" i="5"/>
  <c r="F24" i="5"/>
  <c r="D25" i="5"/>
  <c r="F25" i="5"/>
  <c r="D26" i="5"/>
  <c r="F26" i="5"/>
  <c r="D27" i="5"/>
  <c r="F27" i="5"/>
  <c r="D28" i="5"/>
  <c r="F28" i="5"/>
  <c r="E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D31" i="5"/>
  <c r="F31" i="5"/>
  <c r="D32" i="5"/>
  <c r="F32" i="5"/>
  <c r="E33" i="5"/>
  <c r="G33" i="5"/>
  <c r="D33" i="5" s="1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D34" i="5"/>
  <c r="F34" i="5"/>
  <c r="D35" i="5"/>
  <c r="F35" i="5"/>
  <c r="D36" i="5"/>
  <c r="F36" i="5"/>
  <c r="D37" i="5"/>
  <c r="F37" i="5"/>
  <c r="D38" i="5"/>
  <c r="F38" i="5"/>
  <c r="D39" i="5"/>
  <c r="F39" i="5"/>
  <c r="D40" i="5"/>
  <c r="F40" i="5"/>
  <c r="D41" i="5"/>
  <c r="F41" i="5"/>
  <c r="D42" i="5"/>
  <c r="F42" i="5"/>
  <c r="D43" i="5"/>
  <c r="F43" i="5"/>
  <c r="D44" i="5"/>
  <c r="F44" i="5"/>
  <c r="D45" i="5"/>
  <c r="F45" i="5"/>
  <c r="D46" i="5"/>
  <c r="F46" i="5"/>
  <c r="E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W47" i="5"/>
  <c r="Y47" i="5"/>
  <c r="Z47" i="5"/>
  <c r="AA47" i="5"/>
  <c r="AB47" i="5"/>
  <c r="D48" i="5"/>
  <c r="F48" i="5"/>
  <c r="D49" i="5"/>
  <c r="F49" i="5"/>
  <c r="D50" i="5"/>
  <c r="V50" i="5"/>
  <c r="V47" i="5" s="1"/>
  <c r="X50" i="5"/>
  <c r="X47" i="5" s="1"/>
  <c r="X70" i="5" s="1"/>
  <c r="D51" i="5"/>
  <c r="F51" i="5"/>
  <c r="E52" i="5"/>
  <c r="G52" i="5"/>
  <c r="D52" i="5" s="1"/>
  <c r="H52" i="5"/>
  <c r="I52" i="5"/>
  <c r="J52" i="5"/>
  <c r="K52" i="5"/>
  <c r="L52" i="5"/>
  <c r="M52" i="5"/>
  <c r="N52" i="5"/>
  <c r="O52" i="5"/>
  <c r="P52" i="5"/>
  <c r="Q52" i="5"/>
  <c r="R52" i="5"/>
  <c r="S52" i="5"/>
  <c r="T52" i="5"/>
  <c r="T70" i="5" s="1"/>
  <c r="U52" i="5"/>
  <c r="V52" i="5"/>
  <c r="W52" i="5"/>
  <c r="X52" i="5"/>
  <c r="Y52" i="5"/>
  <c r="Z52" i="5"/>
  <c r="Z70" i="5" s="1"/>
  <c r="AA52" i="5"/>
  <c r="AB52" i="5"/>
  <c r="AB70" i="5" s="1"/>
  <c r="D53" i="5"/>
  <c r="F53" i="5"/>
  <c r="D54" i="5"/>
  <c r="F54" i="5"/>
  <c r="D55" i="5"/>
  <c r="F55" i="5"/>
  <c r="D56" i="5"/>
  <c r="F56" i="5"/>
  <c r="E57" i="5"/>
  <c r="G57" i="5"/>
  <c r="H57" i="5"/>
  <c r="I57" i="5"/>
  <c r="J57" i="5"/>
  <c r="K57" i="5"/>
  <c r="L57" i="5"/>
  <c r="M57" i="5"/>
  <c r="N57" i="5"/>
  <c r="O57" i="5"/>
  <c r="P57" i="5"/>
  <c r="Q57" i="5"/>
  <c r="R57" i="5"/>
  <c r="S57" i="5"/>
  <c r="T57" i="5"/>
  <c r="U57" i="5"/>
  <c r="V57" i="5"/>
  <c r="W57" i="5"/>
  <c r="X57" i="5"/>
  <c r="Y57" i="5"/>
  <c r="Z57" i="5"/>
  <c r="AA57" i="5"/>
  <c r="AB57" i="5"/>
  <c r="D58" i="5"/>
  <c r="F58" i="5"/>
  <c r="D59" i="5"/>
  <c r="F59" i="5"/>
  <c r="E60" i="5"/>
  <c r="G60" i="5"/>
  <c r="D60" i="5" s="1"/>
  <c r="H60" i="5"/>
  <c r="I60" i="5"/>
  <c r="J60" i="5"/>
  <c r="K60" i="5"/>
  <c r="L60" i="5"/>
  <c r="M60" i="5"/>
  <c r="N60" i="5"/>
  <c r="O60" i="5"/>
  <c r="P60" i="5"/>
  <c r="Q60" i="5"/>
  <c r="R60" i="5"/>
  <c r="S60" i="5"/>
  <c r="T60" i="5"/>
  <c r="U60" i="5"/>
  <c r="V60" i="5"/>
  <c r="W60" i="5"/>
  <c r="X60" i="5"/>
  <c r="Y60" i="5"/>
  <c r="Z60" i="5"/>
  <c r="AA60" i="5"/>
  <c r="AB60" i="5"/>
  <c r="F61" i="5"/>
  <c r="D62" i="5"/>
  <c r="F62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D64" i="5"/>
  <c r="F64" i="5"/>
  <c r="D65" i="5"/>
  <c r="F65" i="5"/>
  <c r="D66" i="5"/>
  <c r="F66" i="5"/>
  <c r="D67" i="5"/>
  <c r="F67" i="5"/>
  <c r="D68" i="5"/>
  <c r="E68" i="5" s="1"/>
  <c r="E63" i="5" s="1"/>
  <c r="E70" i="5" s="1"/>
  <c r="F68" i="5"/>
  <c r="D69" i="5"/>
  <c r="F69" i="5"/>
  <c r="H70" i="5"/>
  <c r="J70" i="5"/>
  <c r="L70" i="5"/>
  <c r="N70" i="5"/>
  <c r="P70" i="5"/>
  <c r="R70" i="5"/>
  <c r="U70" i="5"/>
  <c r="Y70" i="5"/>
  <c r="AA70" i="5"/>
  <c r="D6" i="2"/>
  <c r="F6" i="2"/>
  <c r="E7" i="2"/>
  <c r="E8" i="2"/>
  <c r="E9" i="2"/>
  <c r="E10" i="2"/>
  <c r="E11" i="2"/>
  <c r="E12" i="2"/>
  <c r="D14" i="2"/>
  <c r="F14" i="2"/>
  <c r="E15" i="2"/>
  <c r="E14" i="2" s="1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D8" i="3"/>
  <c r="E8" i="3"/>
  <c r="F8" i="3"/>
  <c r="D9" i="3"/>
  <c r="E9" i="3" s="1"/>
  <c r="F9" i="3"/>
  <c r="D10" i="3"/>
  <c r="E10" i="3" s="1"/>
  <c r="F10" i="3"/>
  <c r="D11" i="3"/>
  <c r="F11" i="3"/>
  <c r="D12" i="3"/>
  <c r="E12" i="3"/>
  <c r="F12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D14" i="3"/>
  <c r="E14" i="3" s="1"/>
  <c r="F14" i="3"/>
  <c r="D15" i="3"/>
  <c r="E15" i="3" s="1"/>
  <c r="F15" i="3"/>
  <c r="D16" i="3"/>
  <c r="F16" i="3"/>
  <c r="D17" i="3"/>
  <c r="E17" i="3"/>
  <c r="F17" i="3"/>
  <c r="D18" i="3"/>
  <c r="E18" i="3" s="1"/>
  <c r="F18" i="3"/>
  <c r="D19" i="3"/>
  <c r="F19" i="3"/>
  <c r="D20" i="3"/>
  <c r="F20" i="3"/>
  <c r="D21" i="3"/>
  <c r="F21" i="3"/>
  <c r="E21" i="3" s="1"/>
  <c r="D22" i="3"/>
  <c r="F22" i="3"/>
  <c r="D23" i="3"/>
  <c r="E23" i="3"/>
  <c r="F23" i="3"/>
  <c r="D24" i="3"/>
  <c r="E24" i="3" s="1"/>
  <c r="F24" i="3"/>
  <c r="D25" i="3"/>
  <c r="E25" i="3" s="1"/>
  <c r="F25" i="3"/>
  <c r="D26" i="3"/>
  <c r="F26" i="3"/>
  <c r="D27" i="3"/>
  <c r="E27" i="3"/>
  <c r="F27" i="3"/>
  <c r="D28" i="3"/>
  <c r="E28" i="3" s="1"/>
  <c r="F28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D31" i="3"/>
  <c r="E31" i="3" s="1"/>
  <c r="F31" i="3"/>
  <c r="D32" i="3"/>
  <c r="F32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D34" i="3"/>
  <c r="F34" i="3"/>
  <c r="D35" i="3"/>
  <c r="F35" i="3"/>
  <c r="E35" i="3" s="1"/>
  <c r="D36" i="3"/>
  <c r="F36" i="3"/>
  <c r="D37" i="3"/>
  <c r="F37" i="3"/>
  <c r="E37" i="3" s="1"/>
  <c r="D38" i="3"/>
  <c r="F38" i="3"/>
  <c r="D39" i="3"/>
  <c r="F39" i="3"/>
  <c r="E39" i="3" s="1"/>
  <c r="D40" i="3"/>
  <c r="F40" i="3"/>
  <c r="D41" i="3"/>
  <c r="F41" i="3"/>
  <c r="E41" i="3" s="1"/>
  <c r="D42" i="3"/>
  <c r="F42" i="3"/>
  <c r="D43" i="3"/>
  <c r="F43" i="3"/>
  <c r="E43" i="3" s="1"/>
  <c r="D44" i="3"/>
  <c r="F44" i="3"/>
  <c r="D45" i="3"/>
  <c r="F45" i="3"/>
  <c r="E45" i="3" s="1"/>
  <c r="D47" i="3"/>
  <c r="F47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D49" i="3"/>
  <c r="F49" i="3"/>
  <c r="D50" i="3"/>
  <c r="E50" i="3"/>
  <c r="F50" i="3"/>
  <c r="D51" i="3"/>
  <c r="E51" i="3" s="1"/>
  <c r="F51" i="3"/>
  <c r="D52" i="3"/>
  <c r="E52" i="3" s="1"/>
  <c r="F52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D53" i="3" s="1"/>
  <c r="AB53" i="3"/>
  <c r="D54" i="3"/>
  <c r="E54" i="3"/>
  <c r="F54" i="3"/>
  <c r="D55" i="3"/>
  <c r="E55" i="3" s="1"/>
  <c r="F55" i="3"/>
  <c r="D56" i="3"/>
  <c r="F56" i="3"/>
  <c r="D57" i="3"/>
  <c r="F57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D59" i="3"/>
  <c r="F59" i="3"/>
  <c r="D60" i="3"/>
  <c r="E60" i="3"/>
  <c r="F60" i="3"/>
  <c r="D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F62" i="3"/>
  <c r="E62" i="3" s="1"/>
  <c r="D63" i="3"/>
  <c r="E63" i="3" s="1"/>
  <c r="F63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D65" i="3"/>
  <c r="E65" i="3"/>
  <c r="F65" i="3"/>
  <c r="D66" i="3"/>
  <c r="E66" i="3" s="1"/>
  <c r="F66" i="3"/>
  <c r="D67" i="3"/>
  <c r="F67" i="3"/>
  <c r="D68" i="3"/>
  <c r="F68" i="3"/>
  <c r="D69" i="3"/>
  <c r="E69" i="3"/>
  <c r="F69" i="3"/>
  <c r="D70" i="3"/>
  <c r="E70" i="3" s="1"/>
  <c r="F70" i="3"/>
  <c r="G71" i="3"/>
  <c r="D72" i="3" s="1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B4" i="4"/>
  <c r="C4" i="4"/>
  <c r="D4" i="4"/>
  <c r="B5" i="4"/>
  <c r="C5" i="4"/>
  <c r="D5" i="4"/>
  <c r="D13" i="4" s="1"/>
  <c r="B6" i="4"/>
  <c r="H6" i="4" s="1"/>
  <c r="H7" i="4"/>
  <c r="I7" i="4" s="1"/>
  <c r="B8" i="4"/>
  <c r="C8" i="4"/>
  <c r="B9" i="4"/>
  <c r="C9" i="4"/>
  <c r="H9" i="4"/>
  <c r="I9" i="4" s="1"/>
  <c r="B10" i="4"/>
  <c r="C10" i="4"/>
  <c r="B11" i="4"/>
  <c r="C11" i="4"/>
  <c r="H11" i="4"/>
  <c r="I11" i="4" s="1"/>
  <c r="B12" i="4"/>
  <c r="C12" i="4"/>
  <c r="B13" i="4"/>
  <c r="E13" i="4"/>
  <c r="F13" i="4"/>
  <c r="G13" i="4"/>
  <c r="J19" i="4"/>
  <c r="K19" i="4"/>
  <c r="J20" i="4"/>
  <c r="K20" i="4"/>
  <c r="J21" i="4"/>
  <c r="K21" i="4"/>
  <c r="J22" i="4"/>
  <c r="K22" i="4"/>
  <c r="J23" i="4"/>
  <c r="K23" i="4"/>
  <c r="K24" i="4"/>
  <c r="L24" i="4"/>
  <c r="L28" i="4" s="1"/>
  <c r="J25" i="4"/>
  <c r="K25" i="4"/>
  <c r="J26" i="4"/>
  <c r="K26" i="4"/>
  <c r="J27" i="4"/>
  <c r="K27" i="4"/>
  <c r="B28" i="4"/>
  <c r="C28" i="4"/>
  <c r="D28" i="4"/>
  <c r="E28" i="4"/>
  <c r="F28" i="4"/>
  <c r="G28" i="4"/>
  <c r="G29" i="4" s="1"/>
  <c r="H43" i="4" s="1"/>
  <c r="H28" i="4"/>
  <c r="I28" i="4"/>
  <c r="J28" i="4"/>
  <c r="K28" i="4"/>
  <c r="B29" i="4"/>
  <c r="B33" i="4"/>
  <c r="J33" i="4" s="1"/>
  <c r="K33" i="4" s="1"/>
  <c r="C33" i="4"/>
  <c r="D33" i="4"/>
  <c r="B34" i="4"/>
  <c r="C34" i="4"/>
  <c r="D34" i="4"/>
  <c r="B35" i="4"/>
  <c r="J35" i="4" s="1"/>
  <c r="K35" i="4" s="1"/>
  <c r="L35" i="4" s="1"/>
  <c r="B36" i="4"/>
  <c r="C36" i="4"/>
  <c r="J36" i="4"/>
  <c r="K36" i="4" s="1"/>
  <c r="B37" i="4"/>
  <c r="C37" i="4"/>
  <c r="J38" i="4"/>
  <c r="K38" i="4" s="1"/>
  <c r="L38" i="4"/>
  <c r="B39" i="4"/>
  <c r="C39" i="4"/>
  <c r="J39" i="4" s="1"/>
  <c r="K39" i="4" s="1"/>
  <c r="J40" i="4"/>
  <c r="K40" i="4" s="1"/>
  <c r="B41" i="4"/>
  <c r="C41" i="4"/>
  <c r="B42" i="4"/>
  <c r="D42" i="4"/>
  <c r="E42" i="4"/>
  <c r="F42" i="4"/>
  <c r="G42" i="4"/>
  <c r="H42" i="4"/>
  <c r="I42" i="4"/>
  <c r="E50" i="4"/>
  <c r="F50" i="4"/>
  <c r="G50" i="4"/>
  <c r="K50" i="4"/>
  <c r="L50" i="4" s="1"/>
  <c r="E51" i="4"/>
  <c r="F51" i="4"/>
  <c r="G51" i="4"/>
  <c r="E52" i="4"/>
  <c r="F52" i="4"/>
  <c r="G52" i="4"/>
  <c r="K52" i="4" s="1"/>
  <c r="C53" i="4"/>
  <c r="E53" i="4"/>
  <c r="K53" i="4" s="1"/>
  <c r="L53" i="4" s="1"/>
  <c r="F53" i="4"/>
  <c r="G53" i="4"/>
  <c r="C54" i="4"/>
  <c r="F54" i="4" s="1"/>
  <c r="E54" i="4"/>
  <c r="G54" i="4"/>
  <c r="C55" i="4"/>
  <c r="E55" i="4"/>
  <c r="F55" i="4"/>
  <c r="K55" i="4" s="1"/>
  <c r="L55" i="4" s="1"/>
  <c r="G55" i="4"/>
  <c r="J55" i="4"/>
  <c r="J58" i="4" s="1"/>
  <c r="C56" i="4"/>
  <c r="E56" i="4"/>
  <c r="K56" i="4" s="1"/>
  <c r="F56" i="4"/>
  <c r="G56" i="4"/>
  <c r="C57" i="4"/>
  <c r="E57" i="4"/>
  <c r="K57" i="4" s="1"/>
  <c r="F57" i="4"/>
  <c r="G57" i="4"/>
  <c r="G58" i="4" s="1"/>
  <c r="B58" i="4"/>
  <c r="C58" i="4"/>
  <c r="C59" i="4" s="1"/>
  <c r="D58" i="4"/>
  <c r="H58" i="4"/>
  <c r="I58" i="4"/>
  <c r="H59" i="4" s="1"/>
  <c r="B59" i="4"/>
  <c r="D59" i="4"/>
  <c r="B63" i="4"/>
  <c r="C63" i="4" s="1"/>
  <c r="C73" i="4" s="1"/>
  <c r="C96" i="4" s="1"/>
  <c r="H63" i="4"/>
  <c r="I63" i="4" s="1"/>
  <c r="C64" i="4"/>
  <c r="D64" i="4"/>
  <c r="H64" i="4"/>
  <c r="H73" i="4" s="1"/>
  <c r="C65" i="4"/>
  <c r="D65" i="4"/>
  <c r="H66" i="4"/>
  <c r="I66" i="4"/>
  <c r="J66" i="4"/>
  <c r="C71" i="4"/>
  <c r="D71" i="4"/>
  <c r="B73" i="4"/>
  <c r="E73" i="4"/>
  <c r="F73" i="4"/>
  <c r="G73" i="4"/>
  <c r="J73" i="4"/>
  <c r="H96" i="4" s="1"/>
  <c r="C77" i="4"/>
  <c r="D77" i="4"/>
  <c r="C79" i="4"/>
  <c r="D79" i="4"/>
  <c r="C81" i="4"/>
  <c r="D81" i="4"/>
  <c r="C84" i="4"/>
  <c r="D84" i="4"/>
  <c r="C85" i="4"/>
  <c r="D85" i="4"/>
  <c r="B90" i="4"/>
  <c r="C90" i="4"/>
  <c r="C101" i="4" s="1"/>
  <c r="E90" i="4"/>
  <c r="E97" i="4"/>
  <c r="F97" i="4"/>
  <c r="K54" i="4" l="1"/>
  <c r="F58" i="4"/>
  <c r="L56" i="4"/>
  <c r="M56" i="4"/>
  <c r="D90" i="4"/>
  <c r="D101" i="4" s="1"/>
  <c r="D63" i="4"/>
  <c r="D73" i="4" s="1"/>
  <c r="D96" i="4" s="1"/>
  <c r="I73" i="4"/>
  <c r="G96" i="4" s="1"/>
  <c r="K51" i="4"/>
  <c r="C42" i="4"/>
  <c r="J41" i="4"/>
  <c r="L40" i="4"/>
  <c r="J37" i="4"/>
  <c r="K37" i="4" s="1"/>
  <c r="L36" i="4"/>
  <c r="H12" i="4"/>
  <c r="J11" i="4"/>
  <c r="H10" i="4"/>
  <c r="J9" i="4"/>
  <c r="H8" i="4"/>
  <c r="J7" i="4"/>
  <c r="H4" i="4"/>
  <c r="E67" i="3"/>
  <c r="F64" i="3"/>
  <c r="H71" i="3"/>
  <c r="F72" i="3" s="1"/>
  <c r="E56" i="3"/>
  <c r="F53" i="3"/>
  <c r="E32" i="3"/>
  <c r="D30" i="3"/>
  <c r="E19" i="3"/>
  <c r="F7" i="3"/>
  <c r="E6" i="2"/>
  <c r="D5" i="2"/>
  <c r="D72" i="5" s="1"/>
  <c r="D57" i="5"/>
  <c r="F52" i="5"/>
  <c r="F30" i="5"/>
  <c r="F13" i="5"/>
  <c r="D63" i="1"/>
  <c r="C62" i="1"/>
  <c r="D62" i="1"/>
  <c r="D72" i="1" s="1"/>
  <c r="P51" i="1" s="1"/>
  <c r="C48" i="1"/>
  <c r="C58" i="1" s="1"/>
  <c r="K51" i="1" s="1"/>
  <c r="B58" i="1"/>
  <c r="H37" i="1"/>
  <c r="K37" i="1" s="1"/>
  <c r="K35" i="1"/>
  <c r="H34" i="1"/>
  <c r="K34" i="1" s="1"/>
  <c r="M34" i="1" s="1"/>
  <c r="B26" i="1"/>
  <c r="Q26" i="1"/>
  <c r="S19" i="1"/>
  <c r="J10" i="1"/>
  <c r="J7" i="1"/>
  <c r="I6" i="1"/>
  <c r="J6" i="1"/>
  <c r="I4" i="1"/>
  <c r="J4" i="1"/>
  <c r="J34" i="4"/>
  <c r="K34" i="4" s="1"/>
  <c r="K42" i="4" s="1"/>
  <c r="G95" i="4" s="1"/>
  <c r="G97" i="4" s="1"/>
  <c r="H5" i="4"/>
  <c r="F61" i="3"/>
  <c r="E61" i="3" s="1"/>
  <c r="F58" i="3"/>
  <c r="F48" i="3"/>
  <c r="F33" i="3"/>
  <c r="D13" i="3"/>
  <c r="E13" i="3" s="1"/>
  <c r="W70" i="5"/>
  <c r="Q70" i="5"/>
  <c r="O70" i="5"/>
  <c r="M70" i="5"/>
  <c r="K70" i="5"/>
  <c r="I70" i="5"/>
  <c r="D63" i="5"/>
  <c r="G70" i="5"/>
  <c r="D47" i="5"/>
  <c r="F33" i="5"/>
  <c r="K38" i="1"/>
  <c r="H33" i="1"/>
  <c r="K33" i="1" s="1"/>
  <c r="E41" i="1"/>
  <c r="S25" i="1"/>
  <c r="S24" i="1"/>
  <c r="J26" i="1"/>
  <c r="H5" i="1"/>
  <c r="B12" i="1"/>
  <c r="E68" i="3"/>
  <c r="D64" i="3"/>
  <c r="D71" i="3" s="1"/>
  <c r="E59" i="3"/>
  <c r="D58" i="3"/>
  <c r="E58" i="3" s="1"/>
  <c r="E57" i="3"/>
  <c r="E53" i="3"/>
  <c r="E49" i="3"/>
  <c r="D48" i="3"/>
  <c r="E48" i="3" s="1"/>
  <c r="E47" i="3"/>
  <c r="E44" i="3"/>
  <c r="E42" i="3"/>
  <c r="E40" i="3"/>
  <c r="E38" i="3"/>
  <c r="E36" i="3"/>
  <c r="E34" i="3"/>
  <c r="D33" i="3"/>
  <c r="E33" i="3" s="1"/>
  <c r="F30" i="3"/>
  <c r="E26" i="3"/>
  <c r="E22" i="3"/>
  <c r="E20" i="3"/>
  <c r="E16" i="3"/>
  <c r="F13" i="3"/>
  <c r="E11" i="3"/>
  <c r="D7" i="3"/>
  <c r="E7" i="3" s="1"/>
  <c r="F5" i="2"/>
  <c r="D73" i="3" s="1"/>
  <c r="F63" i="5"/>
  <c r="F60" i="5"/>
  <c r="F57" i="5"/>
  <c r="V70" i="5"/>
  <c r="F71" i="5" s="1"/>
  <c r="F73" i="5" s="1"/>
  <c r="D30" i="5"/>
  <c r="D70" i="5" s="1"/>
  <c r="S70" i="5"/>
  <c r="F7" i="5"/>
  <c r="H40" i="1"/>
  <c r="K40" i="1" s="1"/>
  <c r="H39" i="1"/>
  <c r="H36" i="1"/>
  <c r="K36" i="1" s="1"/>
  <c r="L36" i="1" s="1"/>
  <c r="B27" i="1"/>
  <c r="S21" i="1"/>
  <c r="S18" i="1"/>
  <c r="C12" i="1"/>
  <c r="D74" i="3"/>
  <c r="L57" i="4"/>
  <c r="M57" i="4"/>
  <c r="L52" i="4"/>
  <c r="M52" i="4"/>
  <c r="J42" i="4"/>
  <c r="J43" i="4" s="1"/>
  <c r="J44" i="4" s="1"/>
  <c r="J45" i="4" s="1"/>
  <c r="J5" i="4"/>
  <c r="I5" i="4"/>
  <c r="E64" i="3"/>
  <c r="M40" i="1"/>
  <c r="L40" i="1"/>
  <c r="M36" i="1"/>
  <c r="F47" i="5"/>
  <c r="F70" i="5" s="1"/>
  <c r="D13" i="5"/>
  <c r="S26" i="1"/>
  <c r="L51" i="4"/>
  <c r="M51" i="4"/>
  <c r="K58" i="4"/>
  <c r="K41" i="4"/>
  <c r="L41" i="4"/>
  <c r="J12" i="4"/>
  <c r="I12" i="4"/>
  <c r="J10" i="4"/>
  <c r="I10" i="4"/>
  <c r="J8" i="4"/>
  <c r="I8" i="4"/>
  <c r="J6" i="4"/>
  <c r="I6" i="4"/>
  <c r="J4" i="4"/>
  <c r="J13" i="4" s="1"/>
  <c r="D95" i="4" s="1"/>
  <c r="D97" i="4" s="1"/>
  <c r="I4" i="4"/>
  <c r="I13" i="4" s="1"/>
  <c r="C95" i="4" s="1"/>
  <c r="C97" i="4" s="1"/>
  <c r="H13" i="4"/>
  <c r="L38" i="1"/>
  <c r="M38" i="1"/>
  <c r="L34" i="1"/>
  <c r="I11" i="1"/>
  <c r="J11" i="1"/>
  <c r="I9" i="1"/>
  <c r="H12" i="1"/>
  <c r="J9" i="1"/>
  <c r="E30" i="3"/>
  <c r="E5" i="2"/>
  <c r="C72" i="1"/>
  <c r="O51" i="1" s="1"/>
  <c r="E58" i="4"/>
  <c r="E59" i="4" s="1"/>
  <c r="F50" i="5"/>
  <c r="B72" i="1"/>
  <c r="F41" i="1"/>
  <c r="K39" i="1"/>
  <c r="L26" i="1"/>
  <c r="C13" i="4"/>
  <c r="D19" i="5"/>
  <c r="L33" i="1" l="1"/>
  <c r="M33" i="1"/>
  <c r="M41" i="1" s="1"/>
  <c r="P50" i="1" s="1"/>
  <c r="P52" i="1" s="1"/>
  <c r="L37" i="1"/>
  <c r="M37" i="1"/>
  <c r="H41" i="1"/>
  <c r="L34" i="4"/>
  <c r="L42" i="4" s="1"/>
  <c r="H95" i="4" s="1"/>
  <c r="H97" i="4" s="1"/>
  <c r="D71" i="5"/>
  <c r="D73" i="5" s="1"/>
  <c r="I5" i="1"/>
  <c r="I12" i="1" s="1"/>
  <c r="K50" i="1" s="1"/>
  <c r="K52" i="1" s="1"/>
  <c r="J5" i="1"/>
  <c r="F71" i="3"/>
  <c r="L54" i="4"/>
  <c r="L58" i="4" s="1"/>
  <c r="C100" i="4" s="1"/>
  <c r="C102" i="4" s="1"/>
  <c r="M54" i="4"/>
  <c r="M58" i="4" s="1"/>
  <c r="D100" i="4" s="1"/>
  <c r="D102" i="4" s="1"/>
  <c r="L39" i="1"/>
  <c r="M39" i="1"/>
  <c r="K41" i="1"/>
  <c r="J12" i="1"/>
  <c r="L50" i="1" s="1"/>
  <c r="L52" i="1" s="1"/>
  <c r="L41" i="1"/>
  <c r="O50" i="1" s="1"/>
  <c r="O52" i="1" s="1"/>
  <c r="E71" i="3"/>
</calcChain>
</file>

<file path=xl/sharedStrings.xml><?xml version="1.0" encoding="utf-8"?>
<sst xmlns="http://schemas.openxmlformats.org/spreadsheetml/2006/main" count="664" uniqueCount="236">
  <si>
    <t>PLAN 2016</t>
  </si>
  <si>
    <t>Nazwisko i imię</t>
  </si>
  <si>
    <t>zasadnicze</t>
  </si>
  <si>
    <t>dod.stażowy</t>
  </si>
  <si>
    <t>dod.funkcyjny</t>
  </si>
  <si>
    <t>in.nagroda roczna</t>
  </si>
  <si>
    <t>premie</t>
  </si>
  <si>
    <t>jubileusz</t>
  </si>
  <si>
    <t>RAZEM</t>
  </si>
  <si>
    <t>ZUS – 18,06%</t>
  </si>
  <si>
    <t>FP – 2,45%</t>
  </si>
  <si>
    <t>8=1+2+3+4+5+6+7</t>
  </si>
  <si>
    <t>DYREKTOR</t>
  </si>
  <si>
    <t>GŁÓWNY KSIEGOWY</t>
  </si>
  <si>
    <t>REFERENT</t>
  </si>
  <si>
    <t>WOLNE ŚRODKI</t>
  </si>
  <si>
    <t>ST. INSTRUKTOR DS. PLASTYKI</t>
  </si>
  <si>
    <t>PRACOWNIK GOSPODARCZY</t>
  </si>
  <si>
    <t>ST. INSTRUKTOR DS. MUZYKI</t>
  </si>
  <si>
    <t>ST. INSTRUKTOR DS. SPORTU</t>
  </si>
  <si>
    <t>WYKONANIE NA DZIEŃ 30-09-2016</t>
  </si>
  <si>
    <t>POZOSTAŁO DO WYKONANIA X-XII/2016</t>
  </si>
  <si>
    <t>chorobowe</t>
  </si>
  <si>
    <t>dod.specjalny</t>
  </si>
  <si>
    <t>PROJEKT PLANU WYNAGRODZEŃ NA 2017 ROK</t>
  </si>
  <si>
    <t>DANE Z ANGAŻU</t>
  </si>
  <si>
    <t>KOSZTY ROCZNE</t>
  </si>
  <si>
    <t>POCHODNE</t>
  </si>
  <si>
    <t>11=5+6+7+8+9+10</t>
  </si>
  <si>
    <t>Rocznie</t>
  </si>
  <si>
    <t>Łącznie</t>
  </si>
  <si>
    <t>miesięcznie</t>
  </si>
  <si>
    <t>wykonanie IX/2016</t>
  </si>
  <si>
    <t>wynagrodznia bezosobowe</t>
  </si>
  <si>
    <t>FP – 2,15%</t>
  </si>
  <si>
    <t>instuktor zespołów ludowych</t>
  </si>
  <si>
    <t>wyszczególnienie</t>
  </si>
  <si>
    <t>WYKONANIE IX/2016</t>
  </si>
  <si>
    <t>RPOJEKT 2017</t>
  </si>
  <si>
    <t>instruktor tańca</t>
  </si>
  <si>
    <t>instruktor warsztatów rękodzieła</t>
  </si>
  <si>
    <t>wynagrodzenia osobowe</t>
  </si>
  <si>
    <t>intruktor muzyczno-teatralny</t>
  </si>
  <si>
    <t>wynagrodzenia bezosobowe</t>
  </si>
  <si>
    <t>dożynki</t>
  </si>
  <si>
    <t>festyny</t>
  </si>
  <si>
    <t>zawody konne</t>
  </si>
  <si>
    <t>inne imprezy</t>
  </si>
  <si>
    <t>administracja jednorazowe</t>
  </si>
  <si>
    <t>Razem</t>
  </si>
  <si>
    <t>Uwagi</t>
  </si>
  <si>
    <t>Konto syntetyczne</t>
  </si>
  <si>
    <t>Konto analityczne</t>
  </si>
  <si>
    <t>Wyszczególnienie</t>
  </si>
  <si>
    <t>Plan</t>
  </si>
  <si>
    <t>Pozostało do wykonania</t>
  </si>
  <si>
    <t>Wykonanie na 31-12-2016</t>
  </si>
  <si>
    <t>Przychody łącznie</t>
  </si>
  <si>
    <t>Dochody własne</t>
  </si>
  <si>
    <t>710-01</t>
  </si>
  <si>
    <t>- najmy, udostępnienia</t>
  </si>
  <si>
    <t>710-02</t>
  </si>
  <si>
    <t>- inne przychody ze świadczenia usług</t>
  </si>
  <si>
    <t>710-03</t>
  </si>
  <si>
    <t xml:space="preserve">- pozostałe przychody </t>
  </si>
  <si>
    <t>750-01</t>
  </si>
  <si>
    <t>- przychody finansowe - odsetki bankowe</t>
  </si>
  <si>
    <t>760-01</t>
  </si>
  <si>
    <t>- darowizny</t>
  </si>
  <si>
    <t>760-04</t>
  </si>
  <si>
    <t>- inne</t>
  </si>
  <si>
    <t xml:space="preserve"> </t>
  </si>
  <si>
    <t>Dotacje</t>
  </si>
  <si>
    <t>740-01</t>
  </si>
  <si>
    <t>- podmiotowa</t>
  </si>
  <si>
    <t>celowe:</t>
  </si>
  <si>
    <t>konto syntetyczne</t>
  </si>
  <si>
    <t>konto analityczne</t>
  </si>
  <si>
    <t>Opis</t>
  </si>
  <si>
    <t>dalsze rozbicie analityczne</t>
  </si>
  <si>
    <t>10. Administracja</t>
  </si>
  <si>
    <t>11. Świetlice</t>
  </si>
  <si>
    <t>Imprezy</t>
  </si>
  <si>
    <t xml:space="preserve">Zajęcia  </t>
  </si>
  <si>
    <t>1. Dożynki</t>
  </si>
  <si>
    <t>2. Festyny</t>
  </si>
  <si>
    <t>3.Zawody konne</t>
  </si>
  <si>
    <t>4. Pozostałe imprezy</t>
  </si>
  <si>
    <t>5. zajęcia plastyczne</t>
  </si>
  <si>
    <t>6. zajęcia muzyczne</t>
  </si>
  <si>
    <t>7. zajęcia sportowe</t>
  </si>
  <si>
    <t>8. zajęcia taneczne</t>
  </si>
  <si>
    <t>9. zajęcia teatralne</t>
  </si>
  <si>
    <t xml:space="preserve">Plan </t>
  </si>
  <si>
    <t>pozostało</t>
  </si>
  <si>
    <t>Wykonanie na dzień 31.12.2016</t>
  </si>
  <si>
    <t>Wykonanie</t>
  </si>
  <si>
    <t>Środki majątkowe</t>
  </si>
  <si>
    <t>400-01</t>
  </si>
  <si>
    <t>środki trwałe (zakup naowych)</t>
  </si>
  <si>
    <t>400-02</t>
  </si>
  <si>
    <t>WNIP</t>
  </si>
  <si>
    <t>400-03</t>
  </si>
  <si>
    <t>Wyposażenie</t>
  </si>
  <si>
    <t>400-04</t>
  </si>
  <si>
    <t>Zbiory biblioteczne</t>
  </si>
  <si>
    <t>400-05</t>
  </si>
  <si>
    <t>Otrzymane nieodpłatnie</t>
  </si>
  <si>
    <t>Zużycie materiałów</t>
  </si>
  <si>
    <t>411-01</t>
  </si>
  <si>
    <t>Materiały biurowe</t>
  </si>
  <si>
    <t>411-02</t>
  </si>
  <si>
    <t>Środki czystości</t>
  </si>
  <si>
    <t>411-03</t>
  </si>
  <si>
    <t>Wyposażenie niskocenne</t>
  </si>
  <si>
    <t>411-04/311*</t>
  </si>
  <si>
    <t>Opał</t>
  </si>
  <si>
    <t>411-05</t>
  </si>
  <si>
    <t>Zakup książek i czasopism</t>
  </si>
  <si>
    <t>411-06</t>
  </si>
  <si>
    <t>Materiały do zajęć</t>
  </si>
  <si>
    <t>411-07</t>
  </si>
  <si>
    <t>Paliwo</t>
  </si>
  <si>
    <t>411-08</t>
  </si>
  <si>
    <t>Artykuły żywnościowe</t>
  </si>
  <si>
    <t>411-09</t>
  </si>
  <si>
    <t>materiały do przygotowania imprez</t>
  </si>
  <si>
    <t>411-10</t>
  </si>
  <si>
    <t>Pozostałe materiały</t>
  </si>
  <si>
    <t>411-11</t>
  </si>
  <si>
    <t>prenumerata prasy</t>
  </si>
  <si>
    <t>411-12</t>
  </si>
  <si>
    <t>Nagrody rzeczowe w konkursach</t>
  </si>
  <si>
    <t>411-13</t>
  </si>
  <si>
    <t>Materiały konserwacyjne (remontowe)</t>
  </si>
  <si>
    <t>411-14</t>
  </si>
  <si>
    <t>Sprzęt sportowy</t>
  </si>
  <si>
    <t>411-15</t>
  </si>
  <si>
    <t xml:space="preserve">Sprzęt muzyczny </t>
  </si>
  <si>
    <t>411-16</t>
  </si>
  <si>
    <t>napoje na zawody</t>
  </si>
  <si>
    <t>Zużycie energii</t>
  </si>
  <si>
    <t>419-01</t>
  </si>
  <si>
    <t>Energia elektryczna</t>
  </si>
  <si>
    <t>419-02</t>
  </si>
  <si>
    <t>Woda i ścieki</t>
  </si>
  <si>
    <t>Usługi obce</t>
  </si>
  <si>
    <t>420-01</t>
  </si>
  <si>
    <t>Usługi remontowe</t>
  </si>
  <si>
    <t>420-02</t>
  </si>
  <si>
    <t>Usługi telekomunikacyjne</t>
  </si>
  <si>
    <t>420-03</t>
  </si>
  <si>
    <t>Usługi internetowe</t>
  </si>
  <si>
    <t>420-04</t>
  </si>
  <si>
    <t>Wywóz nieczystości</t>
  </si>
  <si>
    <t>420-05</t>
  </si>
  <si>
    <t>Ochrona i monitoring</t>
  </si>
  <si>
    <t>420-06</t>
  </si>
  <si>
    <t>Usługi kominiarskie</t>
  </si>
  <si>
    <t>420-07</t>
  </si>
  <si>
    <t>Usługi informatyczne (abonamenty programów)</t>
  </si>
  <si>
    <t>420-08</t>
  </si>
  <si>
    <t>Usługi transportowe</t>
  </si>
  <si>
    <t>420-09</t>
  </si>
  <si>
    <t>Usługi związane z organizacją imprez</t>
  </si>
  <si>
    <t>420-10</t>
  </si>
  <si>
    <t>Usługi edukacyjne</t>
  </si>
  <si>
    <t>420-11</t>
  </si>
  <si>
    <t>Pozostałe usługi obce</t>
  </si>
  <si>
    <t>420-12</t>
  </si>
  <si>
    <t>Zakwaterowanie na wyjazdach</t>
  </si>
  <si>
    <t>420-15</t>
  </si>
  <si>
    <t>420-13</t>
  </si>
  <si>
    <t>Usługi instruktorskie</t>
  </si>
  <si>
    <t>Wynagrodzenia</t>
  </si>
  <si>
    <t>430-01</t>
  </si>
  <si>
    <t>Wynagrodzenia osobowe</t>
  </si>
  <si>
    <t>430-03</t>
  </si>
  <si>
    <t>Inne wynagrodzenia (nagrody i premie)</t>
  </si>
  <si>
    <t>430-02</t>
  </si>
  <si>
    <t>Wynagrodzenia bezosobowe</t>
  </si>
  <si>
    <t>Odpis na ZFŚS</t>
  </si>
  <si>
    <t>Inne świadczenia na rzecz prac.</t>
  </si>
  <si>
    <t>441-01</t>
  </si>
  <si>
    <t>Koszty BHP</t>
  </si>
  <si>
    <t>441-02</t>
  </si>
  <si>
    <t>Szkolenia</t>
  </si>
  <si>
    <t>441-03</t>
  </si>
  <si>
    <t>Badania lekarskie</t>
  </si>
  <si>
    <t>441-04</t>
  </si>
  <si>
    <t>Pozostałe świadczenia</t>
  </si>
  <si>
    <t>Składki ZUS i FP</t>
  </si>
  <si>
    <t>445-01</t>
  </si>
  <si>
    <t>Składki na ZUS 18,06%</t>
  </si>
  <si>
    <t>445-02</t>
  </si>
  <si>
    <t>Składki na FP 2,45%</t>
  </si>
  <si>
    <t>Podatki i opłaty</t>
  </si>
  <si>
    <t>450-01</t>
  </si>
  <si>
    <t>Opłata za środowisko</t>
  </si>
  <si>
    <t>450-02</t>
  </si>
  <si>
    <t>Opłaty sądowe, skarb., zaiks itp.</t>
  </si>
  <si>
    <t>Pozostałe koszty</t>
  </si>
  <si>
    <t>460-01</t>
  </si>
  <si>
    <t>Podróże służbowe</t>
  </si>
  <si>
    <t>460-02</t>
  </si>
  <si>
    <t>Koszty reklamy</t>
  </si>
  <si>
    <t>460-03</t>
  </si>
  <si>
    <t>Ubezpieczenia</t>
  </si>
  <si>
    <t>460-04</t>
  </si>
  <si>
    <t>460-05</t>
  </si>
  <si>
    <t>Koszty reprezentacji</t>
  </si>
  <si>
    <t>Koszty operacyjne</t>
  </si>
  <si>
    <t>OGÓŁEM</t>
  </si>
  <si>
    <t>suma kontrolna</t>
  </si>
  <si>
    <t>INSTRUKTOR DS.. MUZYKI</t>
  </si>
  <si>
    <t>WYKONANIE NA DZIEŃ 30-11-2016</t>
  </si>
  <si>
    <t>POZOSTAŁO DO WYKONANIA XII/2016</t>
  </si>
  <si>
    <t xml:space="preserve">INSTRUKTOR DS.MUZYKI </t>
  </si>
  <si>
    <t>jubileusz/odprawa</t>
  </si>
  <si>
    <t>INSTRUKTOR DS.MUZYKI</t>
  </si>
  <si>
    <t>POZOSTAŁO DO WYKONANIA X-XII 2016</t>
  </si>
  <si>
    <t>intruktor muzyczny</t>
  </si>
  <si>
    <t>instruktor sportu piłka</t>
  </si>
  <si>
    <t>instruktor sportu tenis</t>
  </si>
  <si>
    <t>POZOSTAŁO DO WYKONANIA</t>
  </si>
  <si>
    <t>PROJEKT PLANU WYDATKÓW 2017</t>
  </si>
  <si>
    <t>Plan 2016</t>
  </si>
  <si>
    <t>Wykonanie na dzień 30.06.2016</t>
  </si>
  <si>
    <t>Plan 2017</t>
  </si>
  <si>
    <t>środki trwałe</t>
  </si>
  <si>
    <t>PROJEKT PLANU PRZYCHODÓW 2017</t>
  </si>
  <si>
    <t>Wykonanie na 30-09-2016</t>
  </si>
  <si>
    <t>Projekt planu 2017</t>
  </si>
  <si>
    <t>- darowizny pieniężne</t>
  </si>
  <si>
    <t>Sprawozdanie z wykonania planu przychodów za 2016r. - Gminny Ośrodek Kultury i Sportu w Pilniku</t>
  </si>
  <si>
    <t>Sprawozdanie z wykonania planu finansowego za 2016r. - Gminny Ośrodek Kultury i Sportu w Pilniku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</si>
</sst>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zł-415];[Red]\-#,##0.00\ [$zł-415]"/>
    <numFmt numFmtId="165" formatCode="_-* #,##0.00&quot; zł&quot;_-;\-* #,##0.00&quot; zł&quot;_-;_-* \-??&quot; zł&quot;_-;_-@_-"/>
  </numFmts>
  <fonts count="19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1"/>
    </font>
    <font>
      <sz val="11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1"/>
      <name val="Calibri"/>
      <family val="2"/>
      <charset val="1"/>
    </font>
    <font>
      <b/>
      <sz val="8"/>
      <color indexed="8"/>
      <name val="Calibri"/>
      <family val="2"/>
      <charset val="1"/>
    </font>
    <font>
      <b/>
      <i/>
      <u/>
      <sz val="11"/>
      <color indexed="8"/>
      <name val="Calibri"/>
      <family val="2"/>
      <charset val="1"/>
    </font>
    <font>
      <sz val="8"/>
      <name val="Calibri"/>
      <family val="2"/>
      <charset val="1"/>
    </font>
    <font>
      <b/>
      <sz val="10"/>
      <name val="Arial"/>
      <family val="2"/>
      <charset val="238"/>
    </font>
    <font>
      <b/>
      <sz val="8"/>
      <name val="Calibri"/>
      <family val="2"/>
      <charset val="1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Calibri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</fills>
  <borders count="106">
    <border>
      <left/>
      <right/>
      <top/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medium">
        <color indexed="8"/>
      </bottom>
      <diagonal/>
    </border>
    <border>
      <left/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4">
    <xf numFmtId="0" fontId="0" fillId="0" borderId="0"/>
    <xf numFmtId="165" fontId="18" fillId="0" borderId="0" applyFill="0" applyBorder="0" applyAlignment="0" applyProtection="0"/>
    <xf numFmtId="9" fontId="18" fillId="0" borderId="0" applyFill="0" applyBorder="0" applyAlignment="0" applyProtection="0"/>
    <xf numFmtId="0" fontId="1" fillId="0" borderId="0"/>
  </cellStyleXfs>
  <cellXfs count="469">
    <xf numFmtId="0" fontId="0" fillId="0" borderId="0" xfId="0"/>
    <xf numFmtId="0" fontId="2" fillId="0" borderId="0" xfId="3" applyFont="1" applyAlignment="1">
      <alignment vertical="center"/>
    </xf>
    <xf numFmtId="0" fontId="2" fillId="0" borderId="0" xfId="3" applyFont="1" applyAlignment="1">
      <alignment horizontal="center" vertical="center"/>
    </xf>
    <xf numFmtId="164" fontId="2" fillId="0" borderId="0" xfId="3" applyNumberFormat="1" applyFont="1" applyAlignment="1">
      <alignment vertical="center"/>
    </xf>
    <xf numFmtId="0" fontId="3" fillId="0" borderId="0" xfId="0" applyFont="1"/>
    <xf numFmtId="0" fontId="4" fillId="0" borderId="0" xfId="3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1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2" fillId="0" borderId="5" xfId="3" applyFont="1" applyBorder="1" applyAlignment="1">
      <alignment vertical="center"/>
    </xf>
    <xf numFmtId="164" fontId="2" fillId="0" borderId="6" xfId="3" applyNumberFormat="1" applyFont="1" applyBorder="1" applyAlignment="1">
      <alignment vertical="center"/>
    </xf>
    <xf numFmtId="164" fontId="2" fillId="0" borderId="3" xfId="3" applyNumberFormat="1" applyFont="1" applyBorder="1" applyAlignment="1">
      <alignment vertical="center"/>
    </xf>
    <xf numFmtId="164" fontId="2" fillId="0" borderId="7" xfId="3" applyNumberFormat="1" applyFont="1" applyBorder="1" applyAlignment="1">
      <alignment vertical="center"/>
    </xf>
    <xf numFmtId="0" fontId="7" fillId="0" borderId="5" xfId="3" applyFont="1" applyBorder="1" applyAlignment="1">
      <alignment vertical="center"/>
    </xf>
    <xf numFmtId="164" fontId="2" fillId="0" borderId="8" xfId="3" applyNumberFormat="1" applyFont="1" applyBorder="1" applyAlignment="1">
      <alignment vertical="center"/>
    </xf>
    <xf numFmtId="0" fontId="4" fillId="0" borderId="1" xfId="3" applyFont="1" applyBorder="1" applyAlignment="1">
      <alignment vertical="center"/>
    </xf>
    <xf numFmtId="164" fontId="4" fillId="0" borderId="2" xfId="3" applyNumberFormat="1" applyFont="1" applyBorder="1" applyAlignment="1">
      <alignment vertical="center"/>
    </xf>
    <xf numFmtId="164" fontId="4" fillId="0" borderId="4" xfId="3" applyNumberFormat="1" applyFont="1" applyBorder="1" applyAlignment="1">
      <alignment vertical="center"/>
    </xf>
    <xf numFmtId="0" fontId="4" fillId="0" borderId="0" xfId="3" applyFont="1" applyAlignment="1">
      <alignment vertical="center"/>
    </xf>
    <xf numFmtId="0" fontId="6" fillId="0" borderId="0" xfId="3" applyFont="1" applyAlignment="1">
      <alignment horizontal="center" vertical="center" wrapText="1"/>
    </xf>
    <xf numFmtId="0" fontId="5" fillId="0" borderId="0" xfId="0" applyFont="1"/>
    <xf numFmtId="0" fontId="4" fillId="0" borderId="9" xfId="3" applyFont="1" applyBorder="1" applyAlignment="1">
      <alignment horizontal="center" vertical="center" wrapText="1"/>
    </xf>
    <xf numFmtId="0" fontId="4" fillId="0" borderId="10" xfId="3" applyFont="1" applyBorder="1" applyAlignment="1">
      <alignment horizontal="center" vertical="center" wrapText="1"/>
    </xf>
    <xf numFmtId="0" fontId="4" fillId="0" borderId="10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6" fillId="0" borderId="12" xfId="3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3" fillId="0" borderId="5" xfId="0" applyNumberFormat="1" applyFont="1" applyBorder="1"/>
    <xf numFmtId="164" fontId="2" fillId="0" borderId="13" xfId="3" applyNumberFormat="1" applyFont="1" applyBorder="1" applyAlignment="1">
      <alignment vertical="center"/>
    </xf>
    <xf numFmtId="0" fontId="2" fillId="0" borderId="13" xfId="3" applyFont="1" applyBorder="1" applyAlignment="1">
      <alignment vertical="center"/>
    </xf>
    <xf numFmtId="164" fontId="5" fillId="0" borderId="1" xfId="0" applyNumberFormat="1" applyFont="1" applyBorder="1"/>
    <xf numFmtId="164" fontId="5" fillId="0" borderId="4" xfId="0" applyNumberFormat="1" applyFont="1" applyBorder="1"/>
    <xf numFmtId="164" fontId="4" fillId="0" borderId="0" xfId="3" applyNumberFormat="1" applyFont="1" applyAlignment="1">
      <alignment vertical="center"/>
    </xf>
    <xf numFmtId="0" fontId="9" fillId="0" borderId="0" xfId="0" applyFont="1"/>
    <xf numFmtId="0" fontId="6" fillId="0" borderId="0" xfId="3" applyFont="1" applyAlignment="1">
      <alignment vertical="center"/>
    </xf>
    <xf numFmtId="0" fontId="10" fillId="0" borderId="0" xfId="0" applyFont="1"/>
    <xf numFmtId="0" fontId="4" fillId="0" borderId="11" xfId="3" applyFont="1" applyBorder="1" applyAlignment="1">
      <alignment horizontal="center" vertical="center" wrapText="1"/>
    </xf>
    <xf numFmtId="0" fontId="4" fillId="0" borderId="12" xfId="3" applyFont="1" applyBorder="1" applyAlignment="1">
      <alignment horizontal="center" vertical="center" wrapText="1"/>
    </xf>
    <xf numFmtId="0" fontId="4" fillId="0" borderId="12" xfId="3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6" fillId="0" borderId="17" xfId="3" applyFont="1" applyBorder="1" applyAlignment="1">
      <alignment horizontal="center" vertical="center"/>
    </xf>
    <xf numFmtId="164" fontId="3" fillId="0" borderId="6" xfId="0" applyNumberFormat="1" applyFont="1" applyBorder="1"/>
    <xf numFmtId="164" fontId="3" fillId="0" borderId="13" xfId="0" applyNumberFormat="1" applyFont="1" applyBorder="1"/>
    <xf numFmtId="164" fontId="3" fillId="0" borderId="18" xfId="0" applyNumberFormat="1" applyFont="1" applyBorder="1"/>
    <xf numFmtId="164" fontId="3" fillId="0" borderId="19" xfId="0" applyNumberFormat="1" applyFont="1" applyBorder="1"/>
    <xf numFmtId="164" fontId="2" fillId="0" borderId="19" xfId="3" applyNumberFormat="1" applyFont="1" applyBorder="1" applyAlignment="1">
      <alignment vertical="center"/>
    </xf>
    <xf numFmtId="164" fontId="2" fillId="0" borderId="20" xfId="3" applyNumberFormat="1" applyFont="1" applyBorder="1" applyAlignment="1">
      <alignment vertical="center"/>
    </xf>
    <xf numFmtId="164" fontId="2" fillId="0" borderId="21" xfId="3" applyNumberFormat="1" applyFont="1" applyBorder="1" applyAlignment="1">
      <alignment vertical="center"/>
    </xf>
    <xf numFmtId="164" fontId="2" fillId="0" borderId="22" xfId="3" applyNumberFormat="1" applyFont="1" applyBorder="1" applyAlignment="1">
      <alignment vertical="center"/>
    </xf>
    <xf numFmtId="164" fontId="2" fillId="0" borderId="18" xfId="3" applyNumberFormat="1" applyFont="1" applyBorder="1" applyAlignment="1">
      <alignment vertical="center"/>
    </xf>
    <xf numFmtId="0" fontId="3" fillId="0" borderId="18" xfId="0" applyFont="1" applyBorder="1"/>
    <xf numFmtId="0" fontId="3" fillId="0" borderId="19" xfId="0" applyFont="1" applyBorder="1"/>
    <xf numFmtId="164" fontId="3" fillId="0" borderId="23" xfId="0" applyNumberFormat="1" applyFont="1" applyBorder="1"/>
    <xf numFmtId="164" fontId="3" fillId="0" borderId="24" xfId="0" applyNumberFormat="1" applyFont="1" applyBorder="1"/>
    <xf numFmtId="0" fontId="3" fillId="0" borderId="24" xfId="0" applyFont="1" applyBorder="1"/>
    <xf numFmtId="164" fontId="2" fillId="0" borderId="24" xfId="3" applyNumberFormat="1" applyFont="1" applyBorder="1" applyAlignment="1">
      <alignment vertical="center"/>
    </xf>
    <xf numFmtId="164" fontId="2" fillId="0" borderId="25" xfId="3" applyNumberFormat="1" applyFont="1" applyBorder="1" applyAlignment="1">
      <alignment vertical="center"/>
    </xf>
    <xf numFmtId="164" fontId="2" fillId="0" borderId="23" xfId="3" applyNumberFormat="1" applyFont="1" applyBorder="1" applyAlignment="1">
      <alignment vertical="center"/>
    </xf>
    <xf numFmtId="164" fontId="5" fillId="0" borderId="2" xfId="0" applyNumberFormat="1" applyFont="1" applyBorder="1"/>
    <xf numFmtId="164" fontId="5" fillId="0" borderId="12" xfId="0" applyNumberFormat="1" applyFont="1" applyBorder="1"/>
    <xf numFmtId="0" fontId="5" fillId="0" borderId="26" xfId="0" applyFont="1" applyBorder="1"/>
    <xf numFmtId="164" fontId="5" fillId="0" borderId="21" xfId="0" applyNumberFormat="1" applyFont="1" applyBorder="1"/>
    <xf numFmtId="164" fontId="5" fillId="0" borderId="27" xfId="0" applyNumberFormat="1" applyFont="1" applyBorder="1"/>
    <xf numFmtId="164" fontId="5" fillId="0" borderId="22" xfId="0" applyNumberFormat="1" applyFont="1" applyBorder="1"/>
    <xf numFmtId="0" fontId="5" fillId="0" borderId="28" xfId="0" applyFont="1" applyBorder="1"/>
    <xf numFmtId="0" fontId="5" fillId="0" borderId="29" xfId="0" applyFont="1" applyBorder="1"/>
    <xf numFmtId="0" fontId="4" fillId="0" borderId="23" xfId="3" applyFont="1" applyBorder="1" applyAlignment="1">
      <alignment horizontal="center" vertical="center" wrapText="1"/>
    </xf>
    <xf numFmtId="0" fontId="4" fillId="0" borderId="24" xfId="3" applyFont="1" applyBorder="1" applyAlignment="1">
      <alignment horizontal="center" vertical="center" wrapText="1"/>
    </xf>
    <xf numFmtId="164" fontId="4" fillId="0" borderId="25" xfId="3" applyNumberFormat="1" applyFont="1" applyBorder="1" applyAlignment="1">
      <alignment horizontal="center" vertical="center" wrapText="1"/>
    </xf>
    <xf numFmtId="164" fontId="2" fillId="0" borderId="19" xfId="3" applyNumberFormat="1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4" fillId="0" borderId="13" xfId="3" applyFont="1" applyBorder="1" applyAlignment="1">
      <alignment horizontal="center" vertical="center"/>
    </xf>
    <xf numFmtId="164" fontId="2" fillId="0" borderId="5" xfId="3" applyNumberFormat="1" applyFont="1" applyBorder="1" applyAlignment="1">
      <alignment vertical="center"/>
    </xf>
    <xf numFmtId="164" fontId="2" fillId="0" borderId="9" xfId="3" applyNumberFormat="1" applyFont="1" applyBorder="1" applyAlignment="1">
      <alignment vertical="center"/>
    </xf>
    <xf numFmtId="164" fontId="2" fillId="0" borderId="11" xfId="3" applyNumberFormat="1" applyFont="1" applyBorder="1" applyAlignment="1">
      <alignment vertical="center"/>
    </xf>
    <xf numFmtId="0" fontId="2" fillId="0" borderId="9" xfId="3" applyFont="1" applyBorder="1" applyAlignment="1">
      <alignment vertical="center"/>
    </xf>
    <xf numFmtId="0" fontId="4" fillId="0" borderId="30" xfId="3" applyFont="1" applyBorder="1" applyAlignment="1">
      <alignment vertical="center"/>
    </xf>
    <xf numFmtId="164" fontId="4" fillId="0" borderId="15" xfId="3" applyNumberFormat="1" applyFont="1" applyBorder="1" applyAlignment="1">
      <alignment vertical="center"/>
    </xf>
    <xf numFmtId="164" fontId="4" fillId="0" borderId="16" xfId="3" applyNumberFormat="1" applyFont="1" applyBorder="1" applyAlignment="1">
      <alignment vertical="center"/>
    </xf>
    <xf numFmtId="164" fontId="4" fillId="0" borderId="17" xfId="3" applyNumberFormat="1" applyFont="1" applyBorder="1" applyAlignment="1">
      <alignment vertical="center"/>
    </xf>
    <xf numFmtId="0" fontId="4" fillId="0" borderId="4" xfId="3" applyFont="1" applyBorder="1" applyAlignment="1">
      <alignment horizontal="center" vertical="center" wrapText="1"/>
    </xf>
    <xf numFmtId="164" fontId="4" fillId="0" borderId="4" xfId="3" applyNumberFormat="1" applyFont="1" applyBorder="1" applyAlignment="1">
      <alignment horizontal="center" vertical="center" wrapText="1"/>
    </xf>
    <xf numFmtId="0" fontId="2" fillId="0" borderId="7" xfId="3" applyFont="1" applyBorder="1" applyAlignment="1">
      <alignment horizontal="center" vertical="center"/>
    </xf>
    <xf numFmtId="0" fontId="2" fillId="0" borderId="8" xfId="3" applyFont="1" applyBorder="1" applyAlignment="1">
      <alignment horizontal="center" vertical="center"/>
    </xf>
    <xf numFmtId="164" fontId="4" fillId="0" borderId="31" xfId="3" applyNumberFormat="1" applyFont="1" applyBorder="1" applyAlignment="1">
      <alignment vertical="center"/>
    </xf>
    <xf numFmtId="0" fontId="11" fillId="0" borderId="0" xfId="0" applyFont="1"/>
    <xf numFmtId="164" fontId="11" fillId="0" borderId="0" xfId="0" applyNumberFormat="1" applyFont="1"/>
    <xf numFmtId="165" fontId="11" fillId="0" borderId="0" xfId="1" applyFont="1" applyFill="1" applyBorder="1" applyAlignment="1" applyProtection="1"/>
    <xf numFmtId="9" fontId="11" fillId="0" borderId="0" xfId="2" applyFont="1" applyFill="1" applyBorder="1" applyAlignment="1" applyProtection="1"/>
    <xf numFmtId="0" fontId="12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12" fillId="0" borderId="3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 wrapText="1"/>
    </xf>
    <xf numFmtId="165" fontId="12" fillId="0" borderId="35" xfId="1" applyFont="1" applyFill="1" applyBorder="1" applyAlignment="1" applyProtection="1">
      <alignment horizontal="center" vertical="center" wrapText="1"/>
    </xf>
    <xf numFmtId="164" fontId="12" fillId="0" borderId="37" xfId="0" applyNumberFormat="1" applyFont="1" applyBorder="1"/>
    <xf numFmtId="164" fontId="12" fillId="0" borderId="38" xfId="0" applyNumberFormat="1" applyFont="1" applyBorder="1"/>
    <xf numFmtId="0" fontId="11" fillId="0" borderId="39" xfId="0" applyFont="1" applyBorder="1" applyAlignment="1">
      <alignment vertical="center"/>
    </xf>
    <xf numFmtId="0" fontId="11" fillId="0" borderId="40" xfId="0" applyFont="1" applyBorder="1" applyAlignment="1">
      <alignment vertical="center"/>
    </xf>
    <xf numFmtId="0" fontId="12" fillId="0" borderId="41" xfId="0" applyFont="1" applyBorder="1" applyAlignment="1">
      <alignment horizontal="center"/>
    </xf>
    <xf numFmtId="164" fontId="12" fillId="0" borderId="41" xfId="0" applyNumberFormat="1" applyFont="1" applyBorder="1"/>
    <xf numFmtId="164" fontId="12" fillId="0" borderId="42" xfId="0" applyNumberFormat="1" applyFont="1" applyBorder="1"/>
    <xf numFmtId="165" fontId="12" fillId="0" borderId="43" xfId="1" applyFont="1" applyFill="1" applyBorder="1" applyAlignment="1" applyProtection="1"/>
    <xf numFmtId="0" fontId="13" fillId="0" borderId="44" xfId="0" applyFont="1" applyBorder="1" applyAlignment="1">
      <alignment horizontal="center" vertical="center"/>
    </xf>
    <xf numFmtId="0" fontId="13" fillId="0" borderId="21" xfId="0" applyFont="1" applyBorder="1"/>
    <xf numFmtId="0" fontId="13" fillId="0" borderId="27" xfId="0" applyFont="1" applyBorder="1"/>
    <xf numFmtId="164" fontId="13" fillId="0" borderId="27" xfId="0" applyNumberFormat="1" applyFont="1" applyBorder="1"/>
    <xf numFmtId="165" fontId="13" fillId="0" borderId="22" xfId="1" applyFont="1" applyFill="1" applyBorder="1" applyAlignment="1" applyProtection="1"/>
    <xf numFmtId="0" fontId="13" fillId="0" borderId="18" xfId="0" applyFont="1" applyBorder="1"/>
    <xf numFmtId="0" fontId="13" fillId="0" borderId="19" xfId="0" applyFont="1" applyBorder="1"/>
    <xf numFmtId="164" fontId="13" fillId="0" borderId="19" xfId="0" applyNumberFormat="1" applyFont="1" applyBorder="1"/>
    <xf numFmtId="165" fontId="13" fillId="0" borderId="20" xfId="1" applyFont="1" applyFill="1" applyBorder="1" applyAlignment="1" applyProtection="1"/>
    <xf numFmtId="0" fontId="13" fillId="0" borderId="23" xfId="0" applyFont="1" applyBorder="1"/>
    <xf numFmtId="0" fontId="13" fillId="0" borderId="24" xfId="0" applyFont="1" applyBorder="1"/>
    <xf numFmtId="164" fontId="13" fillId="0" borderId="24" xfId="0" applyNumberFormat="1" applyFont="1" applyBorder="1"/>
    <xf numFmtId="165" fontId="13" fillId="0" borderId="25" xfId="1" applyFont="1" applyFill="1" applyBorder="1" applyAlignment="1" applyProtection="1"/>
    <xf numFmtId="0" fontId="13" fillId="0" borderId="16" xfId="0" applyFont="1" applyBorder="1"/>
    <xf numFmtId="164" fontId="13" fillId="0" borderId="16" xfId="0" applyNumberFormat="1" applyFont="1" applyBorder="1"/>
    <xf numFmtId="164" fontId="13" fillId="0" borderId="45" xfId="0" applyNumberFormat="1" applyFont="1" applyBorder="1"/>
    <xf numFmtId="165" fontId="13" fillId="0" borderId="46" xfId="1" applyFont="1" applyFill="1" applyBorder="1" applyAlignment="1" applyProtection="1"/>
    <xf numFmtId="164" fontId="13" fillId="0" borderId="48" xfId="0" applyNumberFormat="1" applyFont="1" applyBorder="1"/>
    <xf numFmtId="165" fontId="13" fillId="0" borderId="49" xfId="1" applyFont="1" applyFill="1" applyBorder="1" applyAlignment="1" applyProtection="1"/>
    <xf numFmtId="0" fontId="13" fillId="0" borderId="37" xfId="0" applyFont="1" applyBorder="1"/>
    <xf numFmtId="164" fontId="13" fillId="0" borderId="37" xfId="0" applyNumberFormat="1" applyFont="1" applyBorder="1"/>
    <xf numFmtId="164" fontId="13" fillId="0" borderId="50" xfId="0" applyNumberFormat="1" applyFont="1" applyBorder="1"/>
    <xf numFmtId="165" fontId="13" fillId="0" borderId="38" xfId="1" applyFont="1" applyFill="1" applyBorder="1" applyAlignment="1" applyProtection="1"/>
    <xf numFmtId="0" fontId="11" fillId="0" borderId="51" xfId="0" applyFont="1" applyBorder="1"/>
    <xf numFmtId="164" fontId="11" fillId="0" borderId="51" xfId="0" applyNumberFormat="1" applyFont="1" applyBorder="1"/>
    <xf numFmtId="165" fontId="11" fillId="0" borderId="51" xfId="1" applyFont="1" applyFill="1" applyBorder="1" applyAlignment="1" applyProtection="1"/>
    <xf numFmtId="0" fontId="11" fillId="0" borderId="33" xfId="0" applyFont="1" applyBorder="1"/>
    <xf numFmtId="0" fontId="12" fillId="0" borderId="33" xfId="0" applyFont="1" applyBorder="1"/>
    <xf numFmtId="164" fontId="12" fillId="0" borderId="33" xfId="0" applyNumberFormat="1" applyFont="1" applyBorder="1"/>
    <xf numFmtId="164" fontId="12" fillId="0" borderId="35" xfId="0" applyNumberFormat="1" applyFont="1" applyBorder="1"/>
    <xf numFmtId="164" fontId="13" fillId="0" borderId="53" xfId="0" applyNumberFormat="1" applyFont="1" applyBorder="1"/>
    <xf numFmtId="165" fontId="13" fillId="0" borderId="54" xfId="1" applyFont="1" applyFill="1" applyBorder="1" applyAlignment="1" applyProtection="1"/>
    <xf numFmtId="164" fontId="14" fillId="0" borderId="19" xfId="0" applyNumberFormat="1" applyFont="1" applyBorder="1"/>
    <xf numFmtId="164" fontId="14" fillId="0" borderId="53" xfId="0" applyNumberFormat="1" applyFont="1" applyBorder="1"/>
    <xf numFmtId="0" fontId="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4" fillId="3" borderId="55" xfId="0" applyFont="1" applyFill="1" applyBorder="1" applyAlignment="1">
      <alignment vertical="center"/>
    </xf>
    <xf numFmtId="0" fontId="14" fillId="3" borderId="56" xfId="0" applyFont="1" applyFill="1" applyBorder="1" applyAlignment="1">
      <alignment vertical="center"/>
    </xf>
    <xf numFmtId="0" fontId="14" fillId="3" borderId="57" xfId="0" applyFont="1" applyFill="1" applyBorder="1" applyAlignment="1">
      <alignment vertical="center"/>
    </xf>
    <xf numFmtId="16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3" borderId="14" xfId="0" applyFont="1" applyFill="1" applyBorder="1" applyAlignment="1">
      <alignment horizontal="center" vertical="center" wrapText="1"/>
    </xf>
    <xf numFmtId="0" fontId="14" fillId="3" borderId="58" xfId="0" applyFont="1" applyFill="1" applyBorder="1" applyAlignment="1">
      <alignment vertical="center"/>
    </xf>
    <xf numFmtId="0" fontId="14" fillId="3" borderId="0" xfId="0" applyFont="1" applyFill="1" applyBorder="1" applyAlignment="1">
      <alignment vertical="center"/>
    </xf>
    <xf numFmtId="0" fontId="14" fillId="3" borderId="59" xfId="0" applyFont="1" applyFill="1" applyBorder="1" applyAlignment="1">
      <alignment vertical="center"/>
    </xf>
    <xf numFmtId="164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3" borderId="60" xfId="0" applyFont="1" applyFill="1" applyBorder="1" applyAlignment="1">
      <alignment horizontal="center" vertical="center" wrapText="1"/>
    </xf>
    <xf numFmtId="0" fontId="14" fillId="3" borderId="56" xfId="0" applyFont="1" applyFill="1" applyBorder="1" applyAlignment="1">
      <alignment horizontal="center" vertical="center" wrapText="1"/>
    </xf>
    <xf numFmtId="0" fontId="14" fillId="3" borderId="61" xfId="0" applyFont="1" applyFill="1" applyBorder="1" applyAlignment="1">
      <alignment horizontal="center" vertical="center" wrapText="1"/>
    </xf>
    <xf numFmtId="0" fontId="14" fillId="3" borderId="62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4" fillId="3" borderId="63" xfId="0" applyFont="1" applyFill="1" applyBorder="1" applyAlignment="1">
      <alignment horizontal="center" vertical="center" wrapText="1"/>
    </xf>
    <xf numFmtId="164" fontId="14" fillId="3" borderId="21" xfId="0" applyNumberFormat="1" applyFont="1" applyFill="1" applyBorder="1" applyAlignment="1">
      <alignment horizontal="center" vertical="center"/>
    </xf>
    <xf numFmtId="164" fontId="14" fillId="3" borderId="62" xfId="0" applyNumberFormat="1" applyFont="1" applyFill="1" applyBorder="1" applyAlignment="1">
      <alignment horizontal="center" vertical="center"/>
    </xf>
    <xf numFmtId="164" fontId="14" fillId="3" borderId="26" xfId="0" applyNumberFormat="1" applyFont="1" applyFill="1" applyBorder="1" applyAlignment="1">
      <alignment horizontal="center" vertical="center"/>
    </xf>
    <xf numFmtId="164" fontId="9" fillId="3" borderId="62" xfId="0" applyNumberFormat="1" applyFont="1" applyFill="1" applyBorder="1" applyAlignment="1">
      <alignment horizontal="center" vertical="center"/>
    </xf>
    <xf numFmtId="164" fontId="9" fillId="3" borderId="21" xfId="0" applyNumberFormat="1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 wrapText="1"/>
    </xf>
    <xf numFmtId="164" fontId="9" fillId="3" borderId="18" xfId="0" applyNumberFormat="1" applyFont="1" applyFill="1" applyBorder="1" applyAlignment="1">
      <alignment horizontal="center" vertical="center"/>
    </xf>
    <xf numFmtId="164" fontId="9" fillId="3" borderId="65" xfId="0" applyNumberFormat="1" applyFont="1" applyFill="1" applyBorder="1" applyAlignment="1">
      <alignment horizontal="center" vertical="center"/>
    </xf>
    <xf numFmtId="164" fontId="9" fillId="3" borderId="28" xfId="0" applyNumberFormat="1" applyFont="1" applyFill="1" applyBorder="1" applyAlignment="1">
      <alignment horizontal="center" vertical="center"/>
    </xf>
    <xf numFmtId="164" fontId="0" fillId="2" borderId="65" xfId="0" applyNumberFormat="1" applyFont="1" applyFill="1" applyBorder="1" applyAlignment="1">
      <alignment horizontal="center" vertical="center"/>
    </xf>
    <xf numFmtId="164" fontId="0" fillId="0" borderId="20" xfId="0" applyNumberFormat="1" applyFont="1" applyFill="1" applyBorder="1" applyAlignment="1">
      <alignment horizontal="center" vertical="center"/>
    </xf>
    <xf numFmtId="164" fontId="0" fillId="2" borderId="18" xfId="0" applyNumberFormat="1" applyFont="1" applyFill="1" applyBorder="1" applyAlignment="1">
      <alignment horizontal="center" vertical="center"/>
    </xf>
    <xf numFmtId="164" fontId="15" fillId="0" borderId="20" xfId="0" applyNumberFormat="1" applyFont="1" applyFill="1" applyBorder="1" applyAlignment="1">
      <alignment horizontal="center" vertical="center"/>
    </xf>
    <xf numFmtId="164" fontId="16" fillId="0" borderId="20" xfId="0" applyNumberFormat="1" applyFont="1" applyFill="1" applyBorder="1" applyAlignment="1">
      <alignment horizontal="center" vertical="center"/>
    </xf>
    <xf numFmtId="0" fontId="9" fillId="3" borderId="66" xfId="0" applyFont="1" applyFill="1" applyBorder="1" applyAlignment="1">
      <alignment horizontal="center" vertical="center"/>
    </xf>
    <xf numFmtId="0" fontId="9" fillId="3" borderId="67" xfId="0" applyFont="1" applyFill="1" applyBorder="1" applyAlignment="1">
      <alignment horizontal="center" vertical="center" wrapText="1"/>
    </xf>
    <xf numFmtId="164" fontId="0" fillId="3" borderId="23" xfId="0" applyNumberFormat="1" applyFont="1" applyFill="1" applyBorder="1" applyAlignment="1">
      <alignment horizontal="center" vertical="center"/>
    </xf>
    <xf numFmtId="164" fontId="0" fillId="3" borderId="68" xfId="0" applyNumberFormat="1" applyFont="1" applyFill="1" applyBorder="1" applyAlignment="1">
      <alignment horizontal="center" vertical="center"/>
    </xf>
    <xf numFmtId="164" fontId="0" fillId="3" borderId="29" xfId="0" applyNumberFormat="1" applyFont="1" applyFill="1" applyBorder="1" applyAlignment="1">
      <alignment horizontal="center" vertical="center"/>
    </xf>
    <xf numFmtId="164" fontId="0" fillId="2" borderId="68" xfId="0" applyNumberFormat="1" applyFont="1" applyFill="1" applyBorder="1" applyAlignment="1">
      <alignment horizontal="center" vertical="center"/>
    </xf>
    <xf numFmtId="164" fontId="0" fillId="0" borderId="25" xfId="0" applyNumberFormat="1" applyFont="1" applyFill="1" applyBorder="1" applyAlignment="1">
      <alignment horizontal="center" vertical="center"/>
    </xf>
    <xf numFmtId="164" fontId="0" fillId="2" borderId="23" xfId="0" applyNumberFormat="1" applyFont="1" applyFill="1" applyBorder="1" applyAlignment="1">
      <alignment horizontal="center" vertical="center"/>
    </xf>
    <xf numFmtId="164" fontId="14" fillId="3" borderId="69" xfId="0" applyNumberFormat="1" applyFont="1" applyFill="1" applyBorder="1" applyAlignment="1">
      <alignment horizontal="center" vertical="center"/>
    </xf>
    <xf numFmtId="164" fontId="9" fillId="3" borderId="69" xfId="0" applyNumberFormat="1" applyFont="1" applyFill="1" applyBorder="1" applyAlignment="1">
      <alignment horizontal="center" vertical="center"/>
    </xf>
    <xf numFmtId="164" fontId="9" fillId="3" borderId="19" xfId="0" applyNumberFormat="1" applyFont="1" applyFill="1" applyBorder="1" applyAlignment="1">
      <alignment horizontal="center" vertical="center"/>
    </xf>
    <xf numFmtId="164" fontId="9" fillId="3" borderId="20" xfId="0" applyNumberFormat="1" applyFont="1" applyFill="1" applyBorder="1" applyAlignment="1">
      <alignment horizontal="center" vertical="center"/>
    </xf>
    <xf numFmtId="164" fontId="0" fillId="0" borderId="19" xfId="0" applyNumberFormat="1" applyFont="1" applyFill="1" applyBorder="1" applyAlignment="1">
      <alignment horizontal="center" vertical="center"/>
    </xf>
    <xf numFmtId="164" fontId="0" fillId="2" borderId="19" xfId="0" applyNumberFormat="1" applyFont="1" applyFill="1" applyBorder="1" applyAlignment="1">
      <alignment horizontal="center" vertical="center"/>
    </xf>
    <xf numFmtId="164" fontId="0" fillId="3" borderId="18" xfId="0" applyNumberFormat="1" applyFont="1" applyFill="1" applyBorder="1" applyAlignment="1">
      <alignment horizontal="center" vertical="center"/>
    </xf>
    <xf numFmtId="164" fontId="0" fillId="3" borderId="19" xfId="0" applyNumberFormat="1" applyFont="1" applyFill="1" applyBorder="1" applyAlignment="1">
      <alignment horizontal="center" vertical="center"/>
    </xf>
    <xf numFmtId="164" fontId="0" fillId="3" borderId="20" xfId="0" applyNumberFormat="1" applyFont="1" applyFill="1" applyBorder="1" applyAlignment="1">
      <alignment horizontal="center" vertical="center"/>
    </xf>
    <xf numFmtId="164" fontId="0" fillId="3" borderId="24" xfId="0" applyNumberFormat="1" applyFont="1" applyFill="1" applyBorder="1" applyAlignment="1">
      <alignment horizontal="center" vertical="center"/>
    </xf>
    <xf numFmtId="164" fontId="0" fillId="3" borderId="25" xfId="0" applyNumberFormat="1" applyFont="1" applyFill="1" applyBorder="1" applyAlignment="1">
      <alignment horizontal="center" vertical="center"/>
    </xf>
    <xf numFmtId="164" fontId="0" fillId="0" borderId="24" xfId="0" applyNumberFormat="1" applyFont="1" applyFill="1" applyBorder="1" applyAlignment="1">
      <alignment horizontal="center" vertical="center"/>
    </xf>
    <xf numFmtId="164" fontId="0" fillId="2" borderId="24" xfId="0" applyNumberFormat="1" applyFont="1" applyFill="1" applyBorder="1" applyAlignment="1">
      <alignment horizontal="center" vertical="center"/>
    </xf>
    <xf numFmtId="164" fontId="0" fillId="3" borderId="65" xfId="0" applyNumberFormat="1" applyFont="1" applyFill="1" applyBorder="1" applyAlignment="1">
      <alignment horizontal="center" vertical="center"/>
    </xf>
    <xf numFmtId="164" fontId="0" fillId="3" borderId="28" xfId="0" applyNumberFormat="1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 wrapText="1"/>
    </xf>
    <xf numFmtId="164" fontId="9" fillId="3" borderId="23" xfId="0" applyNumberFormat="1" applyFont="1" applyFill="1" applyBorder="1" applyAlignment="1">
      <alignment horizontal="center" vertical="center"/>
    </xf>
    <xf numFmtId="164" fontId="9" fillId="3" borderId="68" xfId="0" applyNumberFormat="1" applyFont="1" applyFill="1" applyBorder="1" applyAlignment="1">
      <alignment horizontal="center" vertical="center"/>
    </xf>
    <xf numFmtId="164" fontId="9" fillId="3" borderId="29" xfId="0" applyNumberFormat="1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164" fontId="9" fillId="3" borderId="70" xfId="0" applyNumberFormat="1" applyFont="1" applyFill="1" applyBorder="1" applyAlignment="1">
      <alignment horizontal="center" vertical="center"/>
    </xf>
    <xf numFmtId="164" fontId="9" fillId="3" borderId="17" xfId="0" applyNumberFormat="1" applyFont="1" applyFill="1" applyBorder="1" applyAlignment="1">
      <alignment horizontal="center" vertical="center"/>
    </xf>
    <xf numFmtId="164" fontId="9" fillId="3" borderId="15" xfId="0" applyNumberFormat="1" applyFont="1" applyFill="1" applyBorder="1" applyAlignment="1">
      <alignment horizontal="center" vertical="center"/>
    </xf>
    <xf numFmtId="164" fontId="9" fillId="2" borderId="15" xfId="0" applyNumberFormat="1" applyFont="1" applyFill="1" applyBorder="1" applyAlignment="1">
      <alignment horizontal="center" vertical="center"/>
    </xf>
    <xf numFmtId="164" fontId="0" fillId="2" borderId="72" xfId="0" applyNumberFormat="1" applyFont="1" applyFill="1" applyBorder="1" applyAlignment="1">
      <alignment horizontal="center" vertical="center"/>
    </xf>
    <xf numFmtId="164" fontId="0" fillId="0" borderId="67" xfId="0" applyNumberFormat="1" applyFont="1" applyFill="1" applyBorder="1" applyAlignment="1">
      <alignment horizontal="center" vertical="center"/>
    </xf>
    <xf numFmtId="164" fontId="9" fillId="3" borderId="22" xfId="0" applyNumberFormat="1" applyFont="1" applyFill="1" applyBorder="1" applyAlignment="1">
      <alignment horizontal="center" vertical="center"/>
    </xf>
    <xf numFmtId="164" fontId="9" fillId="2" borderId="21" xfId="0" applyNumberFormat="1" applyFont="1" applyFill="1" applyBorder="1" applyAlignment="1">
      <alignment horizontal="center" vertical="center"/>
    </xf>
    <xf numFmtId="164" fontId="9" fillId="3" borderId="73" xfId="0" applyNumberFormat="1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 wrapText="1"/>
    </xf>
    <xf numFmtId="164" fontId="9" fillId="2" borderId="70" xfId="0" applyNumberFormat="1" applyFont="1" applyFill="1" applyBorder="1" applyAlignment="1">
      <alignment horizontal="center" vertical="center"/>
    </xf>
    <xf numFmtId="164" fontId="9" fillId="0" borderId="74" xfId="0" applyNumberFormat="1" applyFont="1" applyFill="1" applyBorder="1" applyAlignment="1">
      <alignment horizontal="center" vertical="center"/>
    </xf>
    <xf numFmtId="164" fontId="9" fillId="0" borderId="31" xfId="0" applyNumberFormat="1" applyFont="1" applyFill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14" fillId="3" borderId="15" xfId="0" applyNumberFormat="1" applyFont="1" applyFill="1" applyBorder="1" applyAlignment="1">
      <alignment horizontal="center" vertical="center"/>
    </xf>
    <xf numFmtId="164" fontId="14" fillId="3" borderId="4" xfId="0" applyNumberFormat="1" applyFont="1" applyFill="1" applyBorder="1" applyAlignment="1">
      <alignment horizontal="center" vertical="center"/>
    </xf>
    <xf numFmtId="0" fontId="2" fillId="0" borderId="0" xfId="3" applyFont="1" applyFill="1" applyAlignment="1">
      <alignment vertical="center"/>
    </xf>
    <xf numFmtId="0" fontId="2" fillId="0" borderId="0" xfId="3" applyFont="1" applyFill="1" applyAlignment="1">
      <alignment horizontal="center" vertical="center"/>
    </xf>
    <xf numFmtId="164" fontId="2" fillId="0" borderId="0" xfId="3" applyNumberFormat="1" applyFont="1" applyFill="1" applyAlignment="1">
      <alignment vertical="center"/>
    </xf>
    <xf numFmtId="0" fontId="3" fillId="0" borderId="0" xfId="0" applyFont="1" applyFill="1"/>
    <xf numFmtId="0" fontId="4" fillId="0" borderId="0" xfId="3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4" fillId="0" borderId="4" xfId="3" applyFont="1" applyFill="1" applyBorder="1" applyAlignment="1">
      <alignment horizontal="center" vertical="center" wrapText="1"/>
    </xf>
    <xf numFmtId="0" fontId="4" fillId="0" borderId="70" xfId="3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/>
    </xf>
    <xf numFmtId="0" fontId="4" fillId="0" borderId="17" xfId="3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center" vertical="center"/>
    </xf>
    <xf numFmtId="0" fontId="0" fillId="0" borderId="0" xfId="0" applyFill="1"/>
    <xf numFmtId="0" fontId="6" fillId="0" borderId="75" xfId="3" applyFont="1" applyFill="1" applyBorder="1" applyAlignment="1">
      <alignment horizontal="center" vertical="center" wrapText="1"/>
    </xf>
    <xf numFmtId="0" fontId="6" fillId="0" borderId="70" xfId="3" applyFont="1" applyFill="1" applyBorder="1" applyAlignment="1">
      <alignment horizontal="center" vertical="center" wrapText="1"/>
    </xf>
    <xf numFmtId="0" fontId="6" fillId="0" borderId="16" xfId="3" applyFont="1" applyFill="1" applyBorder="1" applyAlignment="1">
      <alignment horizontal="center" vertical="center" wrapText="1"/>
    </xf>
    <xf numFmtId="0" fontId="6" fillId="0" borderId="16" xfId="3" applyFont="1" applyFill="1" applyBorder="1" applyAlignment="1">
      <alignment horizontal="center" vertical="center"/>
    </xf>
    <xf numFmtId="0" fontId="6" fillId="0" borderId="17" xfId="3" applyFont="1" applyFill="1" applyBorder="1" applyAlignment="1">
      <alignment horizontal="center" vertical="center"/>
    </xf>
    <xf numFmtId="0" fontId="6" fillId="0" borderId="4" xfId="3" applyFont="1" applyFill="1" applyBorder="1" applyAlignment="1">
      <alignment horizontal="center" vertical="center"/>
    </xf>
    <xf numFmtId="0" fontId="6" fillId="0" borderId="0" xfId="3" applyFont="1" applyFill="1" applyAlignment="1">
      <alignment horizontal="center" vertical="center"/>
    </xf>
    <xf numFmtId="0" fontId="2" fillId="0" borderId="64" xfId="3" applyFont="1" applyFill="1" applyBorder="1" applyAlignment="1">
      <alignment vertical="center"/>
    </xf>
    <xf numFmtId="164" fontId="2" fillId="0" borderId="21" xfId="3" applyNumberFormat="1" applyFont="1" applyFill="1" applyBorder="1" applyAlignment="1">
      <alignment vertical="center"/>
    </xf>
    <xf numFmtId="164" fontId="2" fillId="0" borderId="27" xfId="3" applyNumberFormat="1" applyFont="1" applyFill="1" applyBorder="1" applyAlignment="1">
      <alignment vertical="center"/>
    </xf>
    <xf numFmtId="164" fontId="2" fillId="0" borderId="22" xfId="3" applyNumberFormat="1" applyFont="1" applyFill="1" applyBorder="1" applyAlignment="1">
      <alignment vertical="center"/>
    </xf>
    <xf numFmtId="164" fontId="2" fillId="0" borderId="26" xfId="3" applyNumberFormat="1" applyFont="1" applyFill="1" applyBorder="1" applyAlignment="1">
      <alignment vertical="center"/>
    </xf>
    <xf numFmtId="0" fontId="2" fillId="0" borderId="28" xfId="3" applyFont="1" applyFill="1" applyBorder="1" applyAlignment="1">
      <alignment vertical="center"/>
    </xf>
    <xf numFmtId="164" fontId="2" fillId="0" borderId="18" xfId="3" applyNumberFormat="1" applyFont="1" applyFill="1" applyBorder="1" applyAlignment="1">
      <alignment vertical="center"/>
    </xf>
    <xf numFmtId="164" fontId="2" fillId="0" borderId="19" xfId="3" applyNumberFormat="1" applyFont="1" applyFill="1" applyBorder="1" applyAlignment="1">
      <alignment vertical="center"/>
    </xf>
    <xf numFmtId="164" fontId="2" fillId="0" borderId="20" xfId="3" applyNumberFormat="1" applyFont="1" applyFill="1" applyBorder="1" applyAlignment="1">
      <alignment vertical="center"/>
    </xf>
    <xf numFmtId="164" fontId="2" fillId="0" borderId="28" xfId="3" applyNumberFormat="1" applyFont="1" applyFill="1" applyBorder="1" applyAlignment="1">
      <alignment vertical="center"/>
    </xf>
    <xf numFmtId="0" fontId="7" fillId="0" borderId="28" xfId="3" applyFont="1" applyFill="1" applyBorder="1" applyAlignment="1">
      <alignment vertical="center"/>
    </xf>
    <xf numFmtId="0" fontId="2" fillId="0" borderId="76" xfId="3" applyFont="1" applyFill="1" applyBorder="1" applyAlignment="1">
      <alignment vertical="center"/>
    </xf>
    <xf numFmtId="164" fontId="2" fillId="0" borderId="66" xfId="3" applyNumberFormat="1" applyFont="1" applyFill="1" applyBorder="1" applyAlignment="1">
      <alignment vertical="center"/>
    </xf>
    <xf numFmtId="164" fontId="2" fillId="0" borderId="77" xfId="3" applyNumberFormat="1" applyFont="1" applyFill="1" applyBorder="1" applyAlignment="1">
      <alignment vertical="center"/>
    </xf>
    <xf numFmtId="164" fontId="2" fillId="0" borderId="78" xfId="3" applyNumberFormat="1" applyFont="1" applyFill="1" applyBorder="1" applyAlignment="1">
      <alignment vertical="center"/>
    </xf>
    <xf numFmtId="164" fontId="2" fillId="0" borderId="79" xfId="3" applyNumberFormat="1" applyFont="1" applyFill="1" applyBorder="1" applyAlignment="1">
      <alignment vertical="center"/>
    </xf>
    <xf numFmtId="164" fontId="2" fillId="0" borderId="80" xfId="3" applyNumberFormat="1" applyFont="1" applyFill="1" applyBorder="1" applyAlignment="1">
      <alignment vertical="center"/>
    </xf>
    <xf numFmtId="164" fontId="2" fillId="0" borderId="29" xfId="3" applyNumberFormat="1" applyFont="1" applyFill="1" applyBorder="1" applyAlignment="1">
      <alignment vertical="center"/>
    </xf>
    <xf numFmtId="0" fontId="4" fillId="0" borderId="4" xfId="3" applyFont="1" applyFill="1" applyBorder="1" applyAlignment="1">
      <alignment vertical="center"/>
    </xf>
    <xf numFmtId="164" fontId="4" fillId="0" borderId="70" xfId="3" applyNumberFormat="1" applyFont="1" applyFill="1" applyBorder="1" applyAlignment="1">
      <alignment vertical="center"/>
    </xf>
    <xf numFmtId="164" fontId="4" fillId="0" borderId="16" xfId="3" applyNumberFormat="1" applyFont="1" applyFill="1" applyBorder="1" applyAlignment="1">
      <alignment vertical="center"/>
    </xf>
    <xf numFmtId="164" fontId="4" fillId="0" borderId="17" xfId="3" applyNumberFormat="1" applyFont="1" applyFill="1" applyBorder="1" applyAlignment="1">
      <alignment vertical="center"/>
    </xf>
    <xf numFmtId="164" fontId="4" fillId="0" borderId="4" xfId="3" applyNumberFormat="1" applyFont="1" applyFill="1" applyBorder="1" applyAlignment="1">
      <alignment vertical="center"/>
    </xf>
    <xf numFmtId="0" fontId="4" fillId="0" borderId="0" xfId="3" applyFont="1" applyFill="1" applyAlignment="1">
      <alignment vertical="center"/>
    </xf>
    <xf numFmtId="0" fontId="6" fillId="0" borderId="0" xfId="3" applyFont="1" applyFill="1" applyAlignment="1">
      <alignment horizontal="center" vertical="center" wrapText="1"/>
    </xf>
    <xf numFmtId="0" fontId="5" fillId="0" borderId="0" xfId="0" applyFont="1" applyFill="1"/>
    <xf numFmtId="0" fontId="4" fillId="0" borderId="1" xfId="3" applyFont="1" applyFill="1" applyBorder="1" applyAlignment="1">
      <alignment horizontal="center" vertical="center" wrapText="1"/>
    </xf>
    <xf numFmtId="0" fontId="4" fillId="0" borderId="15" xfId="3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/>
    </xf>
    <xf numFmtId="0" fontId="6" fillId="0" borderId="17" xfId="3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26" xfId="3" applyFont="1" applyFill="1" applyBorder="1" applyAlignment="1">
      <alignment vertical="center"/>
    </xf>
    <xf numFmtId="164" fontId="3" fillId="0" borderId="21" xfId="0" applyNumberFormat="1" applyFont="1" applyFill="1" applyBorder="1"/>
    <xf numFmtId="164" fontId="3" fillId="0" borderId="18" xfId="0" applyNumberFormat="1" applyFont="1" applyFill="1" applyBorder="1"/>
    <xf numFmtId="0" fontId="2" fillId="0" borderId="29" xfId="3" applyFont="1" applyFill="1" applyBorder="1" applyAlignment="1">
      <alignment vertical="center"/>
    </xf>
    <xf numFmtId="164" fontId="3" fillId="0" borderId="23" xfId="0" applyNumberFormat="1" applyFont="1" applyFill="1" applyBorder="1"/>
    <xf numFmtId="164" fontId="2" fillId="0" borderId="24" xfId="3" applyNumberFormat="1" applyFont="1" applyFill="1" applyBorder="1" applyAlignment="1">
      <alignment vertical="center"/>
    </xf>
    <xf numFmtId="164" fontId="2" fillId="0" borderId="25" xfId="3" applyNumberFormat="1" applyFont="1" applyFill="1" applyBorder="1" applyAlignment="1">
      <alignment vertical="center"/>
    </xf>
    <xf numFmtId="164" fontId="2" fillId="0" borderId="23" xfId="3" applyNumberFormat="1" applyFont="1" applyFill="1" applyBorder="1" applyAlignment="1">
      <alignment vertical="center"/>
    </xf>
    <xf numFmtId="0" fontId="4" fillId="0" borderId="1" xfId="3" applyFont="1" applyFill="1" applyBorder="1" applyAlignment="1">
      <alignment vertical="center"/>
    </xf>
    <xf numFmtId="164" fontId="5" fillId="0" borderId="1" xfId="0" applyNumberFormat="1" applyFont="1" applyFill="1" applyBorder="1"/>
    <xf numFmtId="164" fontId="5" fillId="0" borderId="4" xfId="0" applyNumberFormat="1" applyFont="1" applyFill="1" applyBorder="1"/>
    <xf numFmtId="164" fontId="3" fillId="0" borderId="4" xfId="0" applyNumberFormat="1" applyFont="1" applyFill="1" applyBorder="1"/>
    <xf numFmtId="164" fontId="4" fillId="0" borderId="0" xfId="3" applyNumberFormat="1" applyFont="1" applyFill="1" applyAlignment="1">
      <alignment vertical="center"/>
    </xf>
    <xf numFmtId="164" fontId="3" fillId="0" borderId="81" xfId="0" applyNumberFormat="1" applyFont="1" applyFill="1" applyBorder="1"/>
    <xf numFmtId="164" fontId="2" fillId="0" borderId="82" xfId="3" applyNumberFormat="1" applyFont="1" applyFill="1" applyBorder="1" applyAlignment="1">
      <alignment vertical="center"/>
    </xf>
    <xf numFmtId="164" fontId="2" fillId="0" borderId="83" xfId="3" applyNumberFormat="1" applyFont="1" applyFill="1" applyBorder="1" applyAlignment="1">
      <alignment vertical="center"/>
    </xf>
    <xf numFmtId="164" fontId="2" fillId="0" borderId="81" xfId="3" applyNumberFormat="1" applyFont="1" applyFill="1" applyBorder="1" applyAlignment="1">
      <alignment vertical="center"/>
    </xf>
    <xf numFmtId="164" fontId="3" fillId="0" borderId="66" xfId="0" applyNumberFormat="1" applyFont="1" applyFill="1" applyBorder="1"/>
    <xf numFmtId="164" fontId="2" fillId="0" borderId="67" xfId="3" applyNumberFormat="1" applyFont="1" applyFill="1" applyBorder="1" applyAlignment="1">
      <alignment vertical="center"/>
    </xf>
    <xf numFmtId="0" fontId="4" fillId="0" borderId="0" xfId="3" applyFont="1" applyFill="1" applyBorder="1" applyAlignment="1">
      <alignment vertical="center"/>
    </xf>
    <xf numFmtId="164" fontId="3" fillId="0" borderId="0" xfId="0" applyNumberFormat="1" applyFont="1" applyFill="1" applyBorder="1"/>
    <xf numFmtId="164" fontId="5" fillId="0" borderId="0" xfId="0" applyNumberFormat="1" applyFont="1" applyFill="1" applyBorder="1"/>
    <xf numFmtId="164" fontId="2" fillId="0" borderId="0" xfId="3" applyNumberFormat="1" applyFont="1" applyFill="1" applyBorder="1" applyAlignment="1">
      <alignment vertical="center"/>
    </xf>
    <xf numFmtId="164" fontId="4" fillId="0" borderId="0" xfId="3" applyNumberFormat="1" applyFont="1" applyFill="1" applyBorder="1" applyAlignment="1">
      <alignment vertical="center"/>
    </xf>
    <xf numFmtId="164" fontId="0" fillId="0" borderId="0" xfId="0" applyNumberFormat="1" applyFill="1"/>
    <xf numFmtId="0" fontId="9" fillId="0" borderId="0" xfId="0" applyFont="1" applyFill="1"/>
    <xf numFmtId="0" fontId="6" fillId="0" borderId="0" xfId="3" applyFont="1" applyFill="1" applyAlignment="1">
      <alignment vertical="center"/>
    </xf>
    <xf numFmtId="0" fontId="10" fillId="0" borderId="0" xfId="0" applyFont="1" applyFill="1"/>
    <xf numFmtId="0" fontId="4" fillId="0" borderId="23" xfId="3" applyFont="1" applyFill="1" applyBorder="1" applyAlignment="1">
      <alignment horizontal="center" vertical="center" wrapText="1"/>
    </xf>
    <xf numFmtId="0" fontId="4" fillId="0" borderId="24" xfId="3" applyFont="1" applyFill="1" applyBorder="1" applyAlignment="1">
      <alignment horizontal="center" vertical="center" wrapText="1"/>
    </xf>
    <xf numFmtId="0" fontId="4" fillId="0" borderId="25" xfId="3" applyFont="1" applyFill="1" applyBorder="1" applyAlignment="1">
      <alignment horizontal="center" vertical="center" wrapText="1"/>
    </xf>
    <xf numFmtId="0" fontId="4" fillId="0" borderId="45" xfId="3" applyFont="1" applyFill="1" applyBorder="1" applyAlignment="1">
      <alignment horizontal="center" vertical="center" wrapText="1"/>
    </xf>
    <xf numFmtId="0" fontId="4" fillId="0" borderId="15" xfId="3" applyFont="1" applyFill="1" applyBorder="1" applyAlignment="1">
      <alignment horizontal="center" vertical="center"/>
    </xf>
    <xf numFmtId="0" fontId="4" fillId="0" borderId="31" xfId="3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45" xfId="0" applyFont="1" applyFill="1" applyBorder="1" applyAlignment="1">
      <alignment horizontal="center" vertical="center"/>
    </xf>
    <xf numFmtId="0" fontId="6" fillId="0" borderId="15" xfId="3" applyFont="1" applyFill="1" applyBorder="1" applyAlignment="1">
      <alignment horizontal="center" vertical="center"/>
    </xf>
    <xf numFmtId="0" fontId="6" fillId="0" borderId="31" xfId="3" applyFont="1" applyFill="1" applyBorder="1" applyAlignment="1">
      <alignment horizontal="center" vertical="center"/>
    </xf>
    <xf numFmtId="164" fontId="3" fillId="0" borderId="27" xfId="0" applyNumberFormat="1" applyFont="1" applyFill="1" applyBorder="1"/>
    <xf numFmtId="164" fontId="3" fillId="0" borderId="22" xfId="0" applyNumberFormat="1" applyFont="1" applyFill="1" applyBorder="1"/>
    <xf numFmtId="164" fontId="3" fillId="0" borderId="19" xfId="0" applyNumberFormat="1" applyFont="1" applyFill="1" applyBorder="1"/>
    <xf numFmtId="164" fontId="3" fillId="0" borderId="53" xfId="0" applyNumberFormat="1" applyFont="1" applyFill="1" applyBorder="1"/>
    <xf numFmtId="164" fontId="2" fillId="0" borderId="84" xfId="3" applyNumberFormat="1" applyFont="1" applyFill="1" applyBorder="1" applyAlignment="1">
      <alignment vertical="center"/>
    </xf>
    <xf numFmtId="164" fontId="3" fillId="0" borderId="20" xfId="0" applyNumberFormat="1" applyFont="1" applyFill="1" applyBorder="1"/>
    <xf numFmtId="0" fontId="3" fillId="0" borderId="53" xfId="0" applyFont="1" applyFill="1" applyBorder="1"/>
    <xf numFmtId="165" fontId="18" fillId="0" borderId="18" xfId="1" applyFill="1" applyBorder="1" applyAlignment="1" applyProtection="1"/>
    <xf numFmtId="165" fontId="18" fillId="0" borderId="19" xfId="1" applyFill="1" applyBorder="1" applyAlignment="1" applyProtection="1"/>
    <xf numFmtId="164" fontId="3" fillId="0" borderId="24" xfId="0" applyNumberFormat="1" applyFont="1" applyFill="1" applyBorder="1"/>
    <xf numFmtId="164" fontId="3" fillId="0" borderId="25" xfId="0" applyNumberFormat="1" applyFont="1" applyFill="1" applyBorder="1"/>
    <xf numFmtId="0" fontId="3" fillId="0" borderId="85" xfId="0" applyFont="1" applyFill="1" applyBorder="1"/>
    <xf numFmtId="164" fontId="2" fillId="0" borderId="86" xfId="3" applyNumberFormat="1" applyFont="1" applyFill="1" applyBorder="1" applyAlignment="1">
      <alignment vertical="center"/>
    </xf>
    <xf numFmtId="0" fontId="4" fillId="0" borderId="87" xfId="3" applyFont="1" applyFill="1" applyBorder="1" applyAlignment="1">
      <alignment vertical="center"/>
    </xf>
    <xf numFmtId="164" fontId="5" fillId="0" borderId="60" xfId="0" applyNumberFormat="1" applyFont="1" applyFill="1" applyBorder="1"/>
    <xf numFmtId="164" fontId="5" fillId="0" borderId="88" xfId="0" applyNumberFormat="1" applyFont="1" applyFill="1" applyBorder="1"/>
    <xf numFmtId="164" fontId="5" fillId="0" borderId="61" xfId="0" applyNumberFormat="1" applyFont="1" applyFill="1" applyBorder="1"/>
    <xf numFmtId="164" fontId="5" fillId="0" borderId="89" xfId="0" applyNumberFormat="1" applyFont="1" applyFill="1" applyBorder="1"/>
    <xf numFmtId="164" fontId="4" fillId="0" borderId="60" xfId="3" applyNumberFormat="1" applyFont="1" applyFill="1" applyBorder="1" applyAlignment="1">
      <alignment vertical="center"/>
    </xf>
    <xf numFmtId="164" fontId="4" fillId="0" borderId="88" xfId="3" applyNumberFormat="1" applyFont="1" applyFill="1" applyBorder="1" applyAlignment="1">
      <alignment vertical="center"/>
    </xf>
    <xf numFmtId="164" fontId="4" fillId="0" borderId="61" xfId="3" applyNumberFormat="1" applyFont="1" applyFill="1" applyBorder="1" applyAlignment="1">
      <alignment vertical="center"/>
    </xf>
    <xf numFmtId="164" fontId="4" fillId="0" borderId="90" xfId="3" applyNumberFormat="1" applyFont="1" applyFill="1" applyBorder="1" applyAlignment="1">
      <alignment vertical="center"/>
    </xf>
    <xf numFmtId="0" fontId="5" fillId="0" borderId="4" xfId="0" applyFont="1" applyFill="1" applyBorder="1"/>
    <xf numFmtId="164" fontId="5" fillId="0" borderId="15" xfId="0" applyNumberFormat="1" applyFont="1" applyFill="1" applyBorder="1"/>
    <xf numFmtId="164" fontId="5" fillId="0" borderId="16" xfId="0" applyNumberFormat="1" applyFont="1" applyFill="1" applyBorder="1"/>
    <xf numFmtId="164" fontId="5" fillId="0" borderId="45" xfId="0" applyNumberFormat="1" applyFont="1" applyFill="1" applyBorder="1"/>
    <xf numFmtId="164" fontId="4" fillId="0" borderId="25" xfId="3" applyNumberFormat="1" applyFont="1" applyFill="1" applyBorder="1" applyAlignment="1">
      <alignment horizontal="center" vertical="center" wrapText="1"/>
    </xf>
    <xf numFmtId="164" fontId="2" fillId="0" borderId="19" xfId="3" applyNumberFormat="1" applyFont="1" applyFill="1" applyBorder="1" applyAlignment="1">
      <alignment horizontal="center" vertical="center"/>
    </xf>
    <xf numFmtId="164" fontId="0" fillId="0" borderId="21" xfId="0" applyNumberFormat="1" applyFill="1" applyBorder="1"/>
    <xf numFmtId="164" fontId="0" fillId="0" borderId="22" xfId="0" applyNumberFormat="1" applyFill="1" applyBorder="1"/>
    <xf numFmtId="164" fontId="0" fillId="0" borderId="18" xfId="0" applyNumberFormat="1" applyFill="1" applyBorder="1"/>
    <xf numFmtId="164" fontId="0" fillId="0" borderId="19" xfId="0" applyNumberFormat="1" applyFill="1" applyBorder="1"/>
    <xf numFmtId="164" fontId="0" fillId="0" borderId="20" xfId="0" applyNumberFormat="1" applyFill="1" applyBorder="1"/>
    <xf numFmtId="164" fontId="0" fillId="0" borderId="24" xfId="0" applyNumberFormat="1" applyFill="1" applyBorder="1"/>
    <xf numFmtId="164" fontId="0" fillId="0" borderId="25" xfId="0" applyNumberFormat="1" applyFill="1" applyBorder="1"/>
    <xf numFmtId="0" fontId="4" fillId="0" borderId="30" xfId="3" applyFont="1" applyFill="1" applyBorder="1" applyAlignment="1">
      <alignment vertical="center"/>
    </xf>
    <xf numFmtId="164" fontId="4" fillId="0" borderId="15" xfId="3" applyNumberFormat="1" applyFont="1" applyFill="1" applyBorder="1" applyAlignment="1">
      <alignment vertical="center"/>
    </xf>
    <xf numFmtId="0" fontId="4" fillId="0" borderId="30" xfId="3" applyFont="1" applyFill="1" applyBorder="1" applyAlignment="1">
      <alignment horizontal="center" vertical="center" wrapText="1"/>
    </xf>
    <xf numFmtId="164" fontId="4" fillId="0" borderId="4" xfId="3" applyNumberFormat="1" applyFont="1" applyFill="1" applyBorder="1" applyAlignment="1">
      <alignment horizontal="center" vertical="center" wrapText="1"/>
    </xf>
    <xf numFmtId="0" fontId="2" fillId="0" borderId="91" xfId="3" applyFont="1" applyFill="1" applyBorder="1" applyAlignment="1">
      <alignment vertical="center"/>
    </xf>
    <xf numFmtId="164" fontId="2" fillId="0" borderId="64" xfId="3" applyNumberFormat="1" applyFont="1" applyFill="1" applyBorder="1" applyAlignment="1">
      <alignment vertical="center"/>
    </xf>
    <xf numFmtId="0" fontId="2" fillId="0" borderId="26" xfId="3" applyFont="1" applyFill="1" applyBorder="1" applyAlignment="1">
      <alignment horizontal="center" vertical="center"/>
    </xf>
    <xf numFmtId="0" fontId="2" fillId="0" borderId="92" xfId="3" applyFont="1" applyFill="1" applyBorder="1" applyAlignment="1">
      <alignment vertical="center"/>
    </xf>
    <xf numFmtId="0" fontId="2" fillId="0" borderId="28" xfId="3" applyFont="1" applyFill="1" applyBorder="1" applyAlignment="1">
      <alignment horizontal="center" vertical="center"/>
    </xf>
    <xf numFmtId="0" fontId="2" fillId="0" borderId="93" xfId="3" applyFont="1" applyFill="1" applyBorder="1" applyAlignment="1">
      <alignment vertical="center"/>
    </xf>
    <xf numFmtId="164" fontId="2" fillId="0" borderId="76" xfId="3" applyNumberFormat="1" applyFont="1" applyFill="1" applyBorder="1" applyAlignment="1">
      <alignment vertical="center"/>
    </xf>
    <xf numFmtId="0" fontId="2" fillId="0" borderId="76" xfId="3" applyFont="1" applyFill="1" applyBorder="1" applyAlignment="1">
      <alignment horizontal="center" vertical="center"/>
    </xf>
    <xf numFmtId="0" fontId="2" fillId="0" borderId="94" xfId="3" applyFont="1" applyFill="1" applyBorder="1" applyAlignment="1">
      <alignment vertical="center"/>
    </xf>
    <xf numFmtId="0" fontId="2" fillId="0" borderId="29" xfId="3" applyFont="1" applyFill="1" applyBorder="1" applyAlignment="1">
      <alignment horizontal="center" vertical="center"/>
    </xf>
    <xf numFmtId="164" fontId="4" fillId="0" borderId="31" xfId="3" applyNumberFormat="1" applyFont="1" applyFill="1" applyBorder="1" applyAlignment="1">
      <alignment vertical="center"/>
    </xf>
    <xf numFmtId="0" fontId="4" fillId="0" borderId="23" xfId="3" applyFont="1" applyFill="1" applyBorder="1" applyAlignment="1">
      <alignment horizontal="center" vertical="center"/>
    </xf>
    <xf numFmtId="0" fontId="4" fillId="0" borderId="25" xfId="3" applyFont="1" applyFill="1" applyBorder="1" applyAlignment="1">
      <alignment horizontal="center" vertical="center"/>
    </xf>
    <xf numFmtId="164" fontId="0" fillId="0" borderId="23" xfId="0" applyNumberFormat="1" applyFill="1" applyBorder="1"/>
    <xf numFmtId="164" fontId="2" fillId="0" borderId="15" xfId="3" applyNumberFormat="1" applyFont="1" applyFill="1" applyBorder="1" applyAlignment="1">
      <alignment vertical="center"/>
    </xf>
    <xf numFmtId="164" fontId="2" fillId="0" borderId="17" xfId="3" applyNumberFormat="1" applyFont="1" applyFill="1" applyBorder="1" applyAlignment="1">
      <alignment vertical="center"/>
    </xf>
    <xf numFmtId="164" fontId="2" fillId="0" borderId="8" xfId="3" applyNumberFormat="1" applyFont="1" applyFill="1" applyBorder="1" applyAlignment="1">
      <alignment vertical="center"/>
    </xf>
    <xf numFmtId="164" fontId="2" fillId="0" borderId="11" xfId="3" applyNumberFormat="1" applyFont="1" applyFill="1" applyBorder="1" applyAlignment="1">
      <alignment vertical="center"/>
    </xf>
    <xf numFmtId="0" fontId="14" fillId="3" borderId="21" xfId="0" applyFont="1" applyFill="1" applyBorder="1" applyAlignment="1">
      <alignment horizontal="center" vertical="center" wrapText="1"/>
    </xf>
    <xf numFmtId="0" fontId="14" fillId="3" borderId="48" xfId="0" applyFont="1" applyFill="1" applyBorder="1" applyAlignment="1">
      <alignment horizontal="center" vertical="center" wrapText="1"/>
    </xf>
    <xf numFmtId="164" fontId="9" fillId="3" borderId="95" xfId="0" applyNumberFormat="1" applyFont="1" applyFill="1" applyBorder="1" applyAlignment="1">
      <alignment horizontal="center" vertical="center"/>
    </xf>
    <xf numFmtId="164" fontId="0" fillId="0" borderId="53" xfId="0" applyNumberFormat="1" applyFont="1" applyFill="1" applyBorder="1" applyAlignment="1">
      <alignment horizontal="center" vertical="center"/>
    </xf>
    <xf numFmtId="164" fontId="0" fillId="2" borderId="66" xfId="0" applyNumberFormat="1" applyFont="1" applyFill="1" applyBorder="1" applyAlignment="1">
      <alignment horizontal="center" vertical="center"/>
    </xf>
    <xf numFmtId="164" fontId="0" fillId="0" borderId="96" xfId="0" applyNumberFormat="1" applyFont="1" applyFill="1" applyBorder="1" applyAlignment="1">
      <alignment horizontal="center" vertical="center"/>
    </xf>
    <xf numFmtId="164" fontId="0" fillId="0" borderId="85" xfId="0" applyNumberFormat="1" applyFont="1" applyFill="1" applyBorder="1" applyAlignment="1">
      <alignment horizontal="center" vertical="center"/>
    </xf>
    <xf numFmtId="164" fontId="9" fillId="3" borderId="81" xfId="0" applyNumberFormat="1" applyFont="1" applyFill="1" applyBorder="1" applyAlignment="1">
      <alignment horizontal="center" vertical="center"/>
    </xf>
    <xf numFmtId="164" fontId="9" fillId="3" borderId="97" xfId="0" applyNumberFormat="1" applyFont="1" applyFill="1" applyBorder="1" applyAlignment="1">
      <alignment horizontal="center" vertical="center"/>
    </xf>
    <xf numFmtId="164" fontId="9" fillId="3" borderId="45" xfId="0" applyNumberFormat="1" applyFont="1" applyFill="1" applyBorder="1" applyAlignment="1">
      <alignment horizontal="center" vertical="center"/>
    </xf>
    <xf numFmtId="164" fontId="9" fillId="3" borderId="48" xfId="0" applyNumberFormat="1" applyFont="1" applyFill="1" applyBorder="1" applyAlignment="1">
      <alignment horizontal="center" vertical="center"/>
    </xf>
    <xf numFmtId="164" fontId="14" fillId="3" borderId="98" xfId="0" applyNumberFormat="1" applyFont="1" applyFill="1" applyBorder="1" applyAlignment="1">
      <alignment horizontal="center" vertical="center"/>
    </xf>
    <xf numFmtId="164" fontId="14" fillId="3" borderId="71" xfId="0" applyNumberFormat="1" applyFont="1" applyFill="1" applyBorder="1" applyAlignment="1">
      <alignment horizontal="center" vertical="center"/>
    </xf>
    <xf numFmtId="165" fontId="12" fillId="0" borderId="34" xfId="1" applyFont="1" applyFill="1" applyBorder="1" applyAlignment="1" applyProtection="1">
      <alignment horizontal="center" vertical="center" wrapText="1"/>
    </xf>
    <xf numFmtId="0" fontId="12" fillId="0" borderId="99" xfId="0" applyFont="1" applyBorder="1" applyAlignment="1">
      <alignment horizontal="center" vertical="center" wrapText="1"/>
    </xf>
    <xf numFmtId="164" fontId="12" fillId="0" borderId="50" xfId="0" applyNumberFormat="1" applyFont="1" applyBorder="1"/>
    <xf numFmtId="164" fontId="12" fillId="0" borderId="100" xfId="0" applyNumberFormat="1" applyFont="1" applyBorder="1"/>
    <xf numFmtId="165" fontId="12" fillId="0" borderId="42" xfId="1" applyFont="1" applyFill="1" applyBorder="1" applyAlignment="1" applyProtection="1"/>
    <xf numFmtId="164" fontId="12" fillId="0" borderId="101" xfId="0" applyNumberFormat="1" applyFont="1" applyBorder="1"/>
    <xf numFmtId="165" fontId="13" fillId="0" borderId="48" xfId="1" applyFont="1" applyFill="1" applyBorder="1" applyAlignment="1" applyProtection="1"/>
    <xf numFmtId="164" fontId="13" fillId="0" borderId="102" xfId="0" applyNumberFormat="1" applyFont="1" applyBorder="1"/>
    <xf numFmtId="165" fontId="13" fillId="0" borderId="53" xfId="1" applyFont="1" applyFill="1" applyBorder="1" applyAlignment="1" applyProtection="1"/>
    <xf numFmtId="164" fontId="13" fillId="0" borderId="103" xfId="0" applyNumberFormat="1" applyFont="1" applyBorder="1"/>
    <xf numFmtId="165" fontId="13" fillId="0" borderId="85" xfId="1" applyFont="1" applyFill="1" applyBorder="1" applyAlignment="1" applyProtection="1"/>
    <xf numFmtId="165" fontId="13" fillId="0" borderId="45" xfId="1" applyFont="1" applyFill="1" applyBorder="1" applyAlignment="1" applyProtection="1"/>
    <xf numFmtId="164" fontId="13" fillId="0" borderId="104" xfId="0" applyNumberFormat="1" applyFont="1" applyBorder="1"/>
    <xf numFmtId="165" fontId="13" fillId="0" borderId="50" xfId="1" applyFont="1" applyFill="1" applyBorder="1" applyAlignment="1" applyProtection="1"/>
    <xf numFmtId="164" fontId="13" fillId="0" borderId="100" xfId="0" applyNumberFormat="1" applyFont="1" applyBorder="1"/>
    <xf numFmtId="164" fontId="12" fillId="0" borderId="99" xfId="0" applyNumberFormat="1" applyFont="1" applyBorder="1"/>
    <xf numFmtId="164" fontId="14" fillId="0" borderId="103" xfId="0" applyNumberFormat="1" applyFont="1" applyBorder="1"/>
    <xf numFmtId="0" fontId="5" fillId="0" borderId="26" xfId="0" applyFont="1" applyBorder="1" applyAlignment="1">
      <alignment horizontal="center"/>
    </xf>
    <xf numFmtId="164" fontId="4" fillId="0" borderId="0" xfId="3" applyNumberFormat="1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164" fontId="5" fillId="0" borderId="4" xfId="0" applyNumberFormat="1" applyFont="1" applyBorder="1"/>
    <xf numFmtId="164" fontId="4" fillId="0" borderId="4" xfId="3" applyNumberFormat="1" applyFont="1" applyBorder="1" applyAlignment="1">
      <alignment vertical="center"/>
    </xf>
    <xf numFmtId="0" fontId="4" fillId="0" borderId="0" xfId="3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164" fontId="5" fillId="0" borderId="28" xfId="0" applyNumberFormat="1" applyFont="1" applyBorder="1"/>
    <xf numFmtId="164" fontId="5" fillId="0" borderId="29" xfId="0" applyNumberFormat="1" applyFont="1" applyBorder="1"/>
    <xf numFmtId="0" fontId="4" fillId="0" borderId="7" xfId="3" applyFont="1" applyBorder="1" applyAlignment="1">
      <alignment vertical="center"/>
    </xf>
    <xf numFmtId="0" fontId="4" fillId="0" borderId="8" xfId="3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164" fontId="4" fillId="0" borderId="3" xfId="3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36" xfId="0" applyFont="1" applyBorder="1" applyAlignment="1">
      <alignment horizontal="center"/>
    </xf>
    <xf numFmtId="0" fontId="13" fillId="0" borderId="44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4" fillId="3" borderId="31" xfId="0" applyFont="1" applyFill="1" applyBorder="1" applyAlignment="1">
      <alignment horizontal="center" vertical="center"/>
    </xf>
    <xf numFmtId="0" fontId="12" fillId="0" borderId="105" xfId="0" applyFont="1" applyBorder="1" applyAlignment="1">
      <alignment horizontal="justify" vertical="justify"/>
    </xf>
    <xf numFmtId="0" fontId="14" fillId="3" borderId="30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/>
    </xf>
    <xf numFmtId="0" fontId="9" fillId="3" borderId="64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9" fillId="3" borderId="55" xfId="0" applyFont="1" applyFill="1" applyBorder="1" applyAlignment="1">
      <alignment horizontal="center" vertical="center"/>
    </xf>
    <xf numFmtId="0" fontId="9" fillId="3" borderId="75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71" xfId="0" applyFont="1" applyFill="1" applyBorder="1" applyAlignment="1">
      <alignment horizontal="center" vertical="center"/>
    </xf>
    <xf numFmtId="164" fontId="17" fillId="0" borderId="4" xfId="0" applyNumberFormat="1" applyFont="1" applyFill="1" applyBorder="1" applyAlignment="1">
      <alignment horizontal="center"/>
    </xf>
    <xf numFmtId="164" fontId="4" fillId="0" borderId="0" xfId="3" applyNumberFormat="1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/>
    </xf>
    <xf numFmtId="164" fontId="3" fillId="0" borderId="4" xfId="0" applyNumberFormat="1" applyFont="1" applyFill="1" applyBorder="1"/>
    <xf numFmtId="164" fontId="2" fillId="0" borderId="4" xfId="3" applyNumberFormat="1" applyFont="1" applyFill="1" applyBorder="1" applyAlignment="1">
      <alignment vertical="center"/>
    </xf>
    <xf numFmtId="164" fontId="2" fillId="0" borderId="82" xfId="3" applyNumberFormat="1" applyFont="1" applyFill="1" applyBorder="1" applyAlignment="1">
      <alignment vertical="center"/>
    </xf>
    <xf numFmtId="0" fontId="4" fillId="0" borderId="0" xfId="3" applyFont="1" applyFill="1" applyBorder="1" applyAlignment="1">
      <alignment horizontal="center" vertical="center"/>
    </xf>
    <xf numFmtId="0" fontId="4" fillId="0" borderId="26" xfId="3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0" fontId="4" fillId="0" borderId="28" xfId="3" applyFont="1" applyFill="1" applyBorder="1" applyAlignment="1">
      <alignment vertical="center"/>
    </xf>
    <xf numFmtId="0" fontId="5" fillId="0" borderId="26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4" fillId="0" borderId="4" xfId="3" applyFont="1" applyFill="1" applyBorder="1" applyAlignment="1">
      <alignment horizontal="center" vertical="center"/>
    </xf>
    <xf numFmtId="164" fontId="4" fillId="0" borderId="26" xfId="3" applyNumberFormat="1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/>
    </xf>
    <xf numFmtId="0" fontId="4" fillId="0" borderId="29" xfId="3" applyFont="1" applyFill="1" applyBorder="1" applyAlignment="1">
      <alignment horizontal="center" vertical="center"/>
    </xf>
    <xf numFmtId="0" fontId="14" fillId="3" borderId="3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</cellXfs>
  <cellStyles count="4">
    <cellStyle name="Excel Built-in Normal" xfId="3"/>
    <cellStyle name="Normalny" xfId="0" builtinId="0"/>
    <cellStyle name="Procentowy" xfId="2" builtinId="5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75"/>
  <sheetViews>
    <sheetView zoomScale="75" zoomScaleNormal="75" zoomScaleSheetLayoutView="78" workbookViewId="0">
      <selection activeCell="F17" sqref="F17"/>
    </sheetView>
  </sheetViews>
  <sheetFormatPr defaultColWidth="8.7109375" defaultRowHeight="15" x14ac:dyDescent="0.25"/>
  <cols>
    <col min="1" max="1" width="31.140625" style="1" customWidth="1"/>
    <col min="2" max="2" width="13.5703125" style="1" customWidth="1"/>
    <col min="3" max="3" width="14.85546875" style="1" customWidth="1"/>
    <col min="4" max="4" width="13.5703125" style="1" customWidth="1"/>
    <col min="5" max="5" width="15.5703125" style="2" customWidth="1"/>
    <col min="6" max="6" width="15.42578125" style="1" customWidth="1"/>
    <col min="7" max="7" width="16" style="1" customWidth="1"/>
    <col min="8" max="8" width="16.7109375" style="1" customWidth="1"/>
    <col min="9" max="9" width="13.5703125" style="1" customWidth="1"/>
    <col min="10" max="10" width="14.85546875" style="1" customWidth="1"/>
    <col min="11" max="11" width="15.28515625" style="3" customWidth="1"/>
    <col min="12" max="12" width="13.42578125" style="1" customWidth="1"/>
    <col min="13" max="13" width="16.28515625" style="1" customWidth="1"/>
    <col min="14" max="14" width="12.85546875" style="1" customWidth="1"/>
    <col min="15" max="15" width="14.42578125" style="1" customWidth="1"/>
    <col min="16" max="16" width="17" style="1" customWidth="1"/>
    <col min="17" max="17" width="13" style="1" customWidth="1"/>
    <col min="18" max="18" width="8.7109375" style="1"/>
    <col min="19" max="19" width="15.42578125" style="1" customWidth="1"/>
    <col min="20" max="247" width="8.7109375" style="1"/>
    <col min="248" max="16384" width="8.7109375" style="4"/>
  </cols>
  <sheetData>
    <row r="1" spans="1:256" s="5" customFormat="1" ht="12.75" customHeight="1" x14ac:dyDescent="0.25">
      <c r="A1" s="416" t="s">
        <v>0</v>
      </c>
      <c r="B1" s="416"/>
      <c r="C1" s="416"/>
      <c r="D1" s="416"/>
      <c r="E1" s="416"/>
      <c r="F1" s="416"/>
      <c r="G1" s="416"/>
      <c r="H1" s="416"/>
      <c r="I1" s="416"/>
      <c r="J1" s="41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</row>
    <row r="2" spans="1:256" s="5" customFormat="1" ht="30" x14ac:dyDescent="0.2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0" t="s">
        <v>9</v>
      </c>
      <c r="J2" s="10" t="s">
        <v>10</v>
      </c>
      <c r="L2"/>
      <c r="M2"/>
      <c r="N2"/>
      <c r="O2"/>
      <c r="P2"/>
      <c r="Q2"/>
      <c r="R2"/>
      <c r="S2"/>
      <c r="T2"/>
      <c r="U2"/>
      <c r="V2"/>
      <c r="W2"/>
      <c r="X2"/>
    </row>
    <row r="3" spans="1:256" s="15" customFormat="1" ht="12.75" x14ac:dyDescent="0.2">
      <c r="A3" s="11"/>
      <c r="B3" s="12">
        <v>1</v>
      </c>
      <c r="C3" s="12">
        <v>2</v>
      </c>
      <c r="D3" s="12">
        <v>3</v>
      </c>
      <c r="E3" s="13">
        <v>5</v>
      </c>
      <c r="F3" s="13">
        <v>6</v>
      </c>
      <c r="G3" s="13">
        <v>7</v>
      </c>
      <c r="H3" s="13" t="s">
        <v>11</v>
      </c>
      <c r="I3" s="14">
        <v>9</v>
      </c>
      <c r="J3" s="14">
        <v>10</v>
      </c>
      <c r="L3"/>
      <c r="M3"/>
      <c r="N3"/>
      <c r="O3"/>
      <c r="P3"/>
      <c r="Q3"/>
      <c r="R3"/>
      <c r="S3"/>
      <c r="T3"/>
      <c r="U3"/>
      <c r="V3"/>
      <c r="W3"/>
      <c r="X3"/>
    </row>
    <row r="4" spans="1:256" x14ac:dyDescent="0.25">
      <c r="A4" s="16" t="s">
        <v>12</v>
      </c>
      <c r="B4" s="17">
        <f>3800*12</f>
        <v>45600</v>
      </c>
      <c r="C4" s="17">
        <f>760*12</f>
        <v>9120</v>
      </c>
      <c r="D4" s="17">
        <f>1300*12</f>
        <v>15600</v>
      </c>
      <c r="E4" s="17">
        <v>4185.3999999999996</v>
      </c>
      <c r="F4" s="17">
        <v>2500</v>
      </c>
      <c r="G4" s="17"/>
      <c r="H4" s="17">
        <f t="shared" ref="H4:H11" si="0">SUM(B4:G4)</f>
        <v>77005.399999999994</v>
      </c>
      <c r="I4" s="18">
        <f t="shared" ref="I4:I11" si="1">H4*0.1806</f>
        <v>13907.17524</v>
      </c>
      <c r="J4" s="18">
        <f t="shared" ref="J4:J11" si="2">H4*0.0245</f>
        <v>1886.6323</v>
      </c>
      <c r="K4" s="1"/>
      <c r="L4"/>
      <c r="M4"/>
      <c r="N4"/>
      <c r="O4"/>
      <c r="P4"/>
      <c r="Q4"/>
      <c r="R4"/>
      <c r="S4"/>
      <c r="T4"/>
      <c r="U4"/>
      <c r="V4"/>
      <c r="W4"/>
      <c r="X4"/>
      <c r="IH4" s="4"/>
      <c r="II4" s="4"/>
      <c r="IJ4" s="4"/>
      <c r="IK4" s="4"/>
      <c r="IL4" s="4"/>
      <c r="IM4" s="4"/>
    </row>
    <row r="5" spans="1:256" x14ac:dyDescent="0.25">
      <c r="A5" s="16" t="s">
        <v>13</v>
      </c>
      <c r="B5" s="17">
        <f>1651.13*12</f>
        <v>19813.560000000001</v>
      </c>
      <c r="C5" s="17">
        <f>330.23*12</f>
        <v>3962.76</v>
      </c>
      <c r="D5" s="17">
        <f>705*12</f>
        <v>8460</v>
      </c>
      <c r="E5" s="17">
        <v>2873.24</v>
      </c>
      <c r="F5" s="17">
        <v>1500</v>
      </c>
      <c r="G5" s="17"/>
      <c r="H5" s="17">
        <f t="shared" si="0"/>
        <v>36609.56</v>
      </c>
      <c r="I5" s="19">
        <f t="shared" si="1"/>
        <v>6611.6865360000002</v>
      </c>
      <c r="J5" s="19">
        <f t="shared" si="2"/>
        <v>896.93421999999998</v>
      </c>
      <c r="K5" s="1"/>
      <c r="L5"/>
      <c r="M5"/>
      <c r="N5"/>
      <c r="O5"/>
      <c r="P5"/>
      <c r="Q5"/>
      <c r="R5"/>
      <c r="S5"/>
      <c r="T5"/>
      <c r="U5"/>
      <c r="V5"/>
      <c r="W5"/>
      <c r="X5"/>
      <c r="IH5" s="4"/>
      <c r="II5" s="4"/>
      <c r="IJ5" s="4"/>
      <c r="IK5" s="4"/>
      <c r="IL5" s="4"/>
      <c r="IM5" s="4"/>
    </row>
    <row r="6" spans="1:256" x14ac:dyDescent="0.25">
      <c r="A6" s="16" t="s">
        <v>14</v>
      </c>
      <c r="B6" s="17">
        <f>1850*3</f>
        <v>5550</v>
      </c>
      <c r="C6" s="17">
        <v>0</v>
      </c>
      <c r="D6" s="17"/>
      <c r="E6" s="17">
        <v>0</v>
      </c>
      <c r="F6" s="17">
        <v>0</v>
      </c>
      <c r="G6" s="17"/>
      <c r="H6" s="17">
        <f t="shared" si="0"/>
        <v>5550</v>
      </c>
      <c r="I6" s="19">
        <f t="shared" si="1"/>
        <v>1002.33</v>
      </c>
      <c r="J6" s="19">
        <f t="shared" si="2"/>
        <v>135.97499999999999</v>
      </c>
      <c r="K6" s="1"/>
      <c r="L6"/>
      <c r="M6"/>
      <c r="N6"/>
      <c r="O6"/>
      <c r="P6"/>
      <c r="Q6"/>
      <c r="R6"/>
      <c r="S6"/>
      <c r="T6"/>
      <c r="U6"/>
      <c r="V6"/>
      <c r="W6"/>
      <c r="X6"/>
      <c r="IH6" s="4"/>
      <c r="II6" s="4"/>
      <c r="IJ6" s="4"/>
      <c r="IK6" s="4"/>
      <c r="IL6" s="4"/>
      <c r="IM6" s="4"/>
    </row>
    <row r="7" spans="1:256" x14ac:dyDescent="0.25">
      <c r="A7" s="20" t="s">
        <v>15</v>
      </c>
      <c r="B7" s="17">
        <v>4765.84</v>
      </c>
      <c r="C7" s="17"/>
      <c r="D7" s="17"/>
      <c r="E7" s="17"/>
      <c r="F7" s="17"/>
      <c r="G7" s="17"/>
      <c r="H7" s="17">
        <f t="shared" si="0"/>
        <v>4765.84</v>
      </c>
      <c r="I7" s="19">
        <f t="shared" si="1"/>
        <v>860.71070400000008</v>
      </c>
      <c r="J7" s="19">
        <f t="shared" si="2"/>
        <v>116.76308</v>
      </c>
      <c r="K7" s="1"/>
      <c r="L7"/>
      <c r="M7"/>
      <c r="N7"/>
      <c r="O7"/>
      <c r="P7"/>
      <c r="Q7"/>
      <c r="R7"/>
      <c r="S7"/>
      <c r="T7"/>
      <c r="U7"/>
      <c r="V7"/>
      <c r="W7"/>
      <c r="X7"/>
      <c r="IH7" s="4"/>
      <c r="II7" s="4"/>
      <c r="IJ7" s="4"/>
      <c r="IK7" s="4"/>
      <c r="IL7" s="4"/>
      <c r="IM7" s="4"/>
    </row>
    <row r="8" spans="1:256" x14ac:dyDescent="0.25">
      <c r="A8" s="16" t="s">
        <v>16</v>
      </c>
      <c r="B8" s="17">
        <f>2050*12</f>
        <v>24600</v>
      </c>
      <c r="C8" s="17">
        <f>410*12</f>
        <v>4920</v>
      </c>
      <c r="D8" s="17"/>
      <c r="E8" s="17">
        <v>2883.25</v>
      </c>
      <c r="F8" s="17">
        <v>1500</v>
      </c>
      <c r="G8" s="17"/>
      <c r="H8" s="17">
        <f t="shared" si="0"/>
        <v>33903.25</v>
      </c>
      <c r="I8" s="19">
        <f t="shared" si="1"/>
        <v>6122.92695</v>
      </c>
      <c r="J8" s="19">
        <f t="shared" si="2"/>
        <v>830.62962500000003</v>
      </c>
      <c r="K8" s="1"/>
      <c r="L8"/>
      <c r="M8"/>
      <c r="N8"/>
      <c r="O8"/>
      <c r="P8"/>
      <c r="Q8"/>
      <c r="R8"/>
      <c r="S8"/>
      <c r="T8"/>
      <c r="U8"/>
      <c r="V8"/>
      <c r="W8"/>
      <c r="X8"/>
      <c r="IH8" s="4"/>
      <c r="II8" s="4"/>
      <c r="IJ8" s="4"/>
      <c r="IK8" s="4"/>
      <c r="IL8" s="4"/>
      <c r="IM8" s="4"/>
    </row>
    <row r="9" spans="1:256" x14ac:dyDescent="0.25">
      <c r="A9" s="16" t="s">
        <v>17</v>
      </c>
      <c r="B9" s="17">
        <f>1064*12</f>
        <v>12768</v>
      </c>
      <c r="C9" s="17">
        <f>412.66*12</f>
        <v>4951.92</v>
      </c>
      <c r="D9" s="17"/>
      <c r="E9" s="17">
        <v>2819.36</v>
      </c>
      <c r="F9" s="17">
        <v>1000</v>
      </c>
      <c r="G9" s="17"/>
      <c r="H9" s="17">
        <f t="shared" si="0"/>
        <v>21539.279999999999</v>
      </c>
      <c r="I9" s="19">
        <f t="shared" si="1"/>
        <v>3889.9939680000002</v>
      </c>
      <c r="J9" s="19">
        <f t="shared" si="2"/>
        <v>527.71235999999999</v>
      </c>
      <c r="K9" s="1"/>
      <c r="L9"/>
      <c r="M9"/>
      <c r="N9"/>
      <c r="O9"/>
      <c r="P9"/>
      <c r="Q9"/>
      <c r="R9"/>
      <c r="S9"/>
      <c r="T9"/>
      <c r="U9"/>
      <c r="V9"/>
      <c r="W9"/>
      <c r="X9"/>
      <c r="IH9" s="4"/>
      <c r="II9" s="4"/>
      <c r="IJ9" s="4"/>
      <c r="IK9" s="4"/>
      <c r="IL9" s="4"/>
      <c r="IM9" s="4"/>
    </row>
    <row r="10" spans="1:256" x14ac:dyDescent="0.25">
      <c r="A10" s="16" t="s">
        <v>18</v>
      </c>
      <c r="B10" s="17">
        <f>1518+1650*11</f>
        <v>19668</v>
      </c>
      <c r="C10" s="17">
        <f>303.77+330*11</f>
        <v>3933.77</v>
      </c>
      <c r="D10" s="17"/>
      <c r="E10" s="17">
        <v>2082.0100000000002</v>
      </c>
      <c r="F10" s="17">
        <v>1500</v>
      </c>
      <c r="G10" s="17"/>
      <c r="H10" s="17">
        <f t="shared" si="0"/>
        <v>27183.78</v>
      </c>
      <c r="I10" s="19">
        <f t="shared" si="1"/>
        <v>4909.390668</v>
      </c>
      <c r="J10" s="19">
        <f t="shared" si="2"/>
        <v>666.00261</v>
      </c>
      <c r="K10" s="1"/>
      <c r="L10"/>
      <c r="M10"/>
      <c r="N10"/>
      <c r="O10"/>
      <c r="P10"/>
      <c r="Q10"/>
      <c r="R10"/>
      <c r="S10"/>
      <c r="T10"/>
      <c r="U10"/>
      <c r="V10"/>
      <c r="W10"/>
      <c r="X10"/>
      <c r="IH10" s="4"/>
      <c r="II10" s="4"/>
      <c r="IJ10" s="4"/>
      <c r="IK10" s="4"/>
      <c r="IL10" s="4"/>
      <c r="IM10" s="4"/>
    </row>
    <row r="11" spans="1:256" x14ac:dyDescent="0.25">
      <c r="A11" s="16" t="s">
        <v>19</v>
      </c>
      <c r="B11" s="17">
        <f>2902*12</f>
        <v>34824</v>
      </c>
      <c r="C11" s="17">
        <f>580.4*12</f>
        <v>6964.7999999999993</v>
      </c>
      <c r="D11" s="17"/>
      <c r="E11" s="17">
        <v>3724.09</v>
      </c>
      <c r="F11" s="17">
        <v>2000</v>
      </c>
      <c r="G11" s="17"/>
      <c r="H11" s="17">
        <f t="shared" si="0"/>
        <v>47512.89</v>
      </c>
      <c r="I11" s="21">
        <f t="shared" si="1"/>
        <v>8580.8279340000008</v>
      </c>
      <c r="J11" s="21">
        <f t="shared" si="2"/>
        <v>1164.065805</v>
      </c>
      <c r="K11" s="1"/>
      <c r="L11"/>
      <c r="M11"/>
      <c r="N11"/>
      <c r="O11"/>
      <c r="P11"/>
      <c r="Q11"/>
      <c r="R11"/>
      <c r="S11"/>
      <c r="T11"/>
      <c r="U11"/>
      <c r="V11"/>
      <c r="W11"/>
      <c r="X11"/>
      <c r="IH11" s="4"/>
      <c r="II11" s="4"/>
      <c r="IJ11" s="4"/>
      <c r="IK11" s="4"/>
      <c r="IL11" s="4"/>
      <c r="IM11" s="4"/>
    </row>
    <row r="12" spans="1:256" s="25" customFormat="1" x14ac:dyDescent="0.2">
      <c r="A12" s="22" t="s">
        <v>8</v>
      </c>
      <c r="B12" s="23">
        <f t="shared" ref="B12:J12" si="3">SUM(B4:B11)</f>
        <v>167589.4</v>
      </c>
      <c r="C12" s="23">
        <f t="shared" si="3"/>
        <v>33853.25</v>
      </c>
      <c r="D12" s="23">
        <f t="shared" si="3"/>
        <v>24060</v>
      </c>
      <c r="E12" s="23">
        <f t="shared" si="3"/>
        <v>18567.349999999999</v>
      </c>
      <c r="F12" s="23">
        <f t="shared" si="3"/>
        <v>10000</v>
      </c>
      <c r="G12" s="23">
        <f t="shared" si="3"/>
        <v>0</v>
      </c>
      <c r="H12" s="23">
        <f t="shared" si="3"/>
        <v>254070</v>
      </c>
      <c r="I12" s="24">
        <f t="shared" si="3"/>
        <v>45885.042000000001</v>
      </c>
      <c r="J12" s="24">
        <f t="shared" si="3"/>
        <v>6224.7150000000001</v>
      </c>
      <c r="L12"/>
      <c r="M12"/>
      <c r="N12"/>
      <c r="O12"/>
      <c r="P12"/>
      <c r="Q12"/>
      <c r="R12"/>
      <c r="S12"/>
      <c r="T12"/>
      <c r="U12"/>
      <c r="V12"/>
      <c r="W12"/>
      <c r="X12"/>
    </row>
    <row r="13" spans="1:256" x14ac:dyDescent="0.25">
      <c r="L13"/>
      <c r="M13"/>
      <c r="N13"/>
      <c r="O13"/>
      <c r="P13"/>
      <c r="Q13"/>
      <c r="R13"/>
      <c r="S13"/>
      <c r="T13"/>
      <c r="U13"/>
      <c r="V13"/>
      <c r="W13"/>
      <c r="X13"/>
    </row>
    <row r="14" spans="1:256" s="26" customFormat="1" ht="11.45" customHeight="1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</row>
    <row r="15" spans="1:256" s="25" customFormat="1" x14ac:dyDescent="0.25">
      <c r="A15" s="27"/>
      <c r="B15" s="417" t="s">
        <v>20</v>
      </c>
      <c r="C15" s="417"/>
      <c r="D15" s="417"/>
      <c r="E15" s="417"/>
      <c r="F15" s="417"/>
      <c r="G15" s="417"/>
      <c r="H15" s="417"/>
      <c r="I15" s="417"/>
      <c r="J15" s="417"/>
      <c r="K15" s="417" t="s">
        <v>21</v>
      </c>
      <c r="L15" s="417"/>
      <c r="M15" s="417"/>
      <c r="N15" s="417"/>
      <c r="O15" s="417"/>
      <c r="P15" s="417"/>
      <c r="Q15" s="417"/>
      <c r="R15" s="417"/>
      <c r="S15" s="41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  <c r="IU15" s="27"/>
      <c r="IV15" s="27"/>
    </row>
    <row r="16" spans="1:256" s="25" customFormat="1" ht="30" x14ac:dyDescent="0.25">
      <c r="A16" s="7" t="s">
        <v>1</v>
      </c>
      <c r="B16" s="28" t="s">
        <v>2</v>
      </c>
      <c r="C16" s="29" t="s">
        <v>3</v>
      </c>
      <c r="D16" s="29" t="s">
        <v>4</v>
      </c>
      <c r="E16" s="29" t="s">
        <v>22</v>
      </c>
      <c r="F16" s="29" t="s">
        <v>23</v>
      </c>
      <c r="G16" s="30" t="s">
        <v>5</v>
      </c>
      <c r="H16" s="30" t="s">
        <v>6</v>
      </c>
      <c r="I16" s="30" t="s">
        <v>7</v>
      </c>
      <c r="J16" s="31" t="s">
        <v>8</v>
      </c>
      <c r="K16" s="28" t="s">
        <v>2</v>
      </c>
      <c r="L16" s="29" t="s">
        <v>3</v>
      </c>
      <c r="M16" s="29" t="s">
        <v>4</v>
      </c>
      <c r="N16" s="29" t="s">
        <v>22</v>
      </c>
      <c r="O16" s="29" t="s">
        <v>23</v>
      </c>
      <c r="P16" s="30" t="s">
        <v>5</v>
      </c>
      <c r="Q16" s="30" t="s">
        <v>6</v>
      </c>
      <c r="R16" s="30" t="s">
        <v>7</v>
      </c>
      <c r="S16" s="31" t="s">
        <v>8</v>
      </c>
      <c r="IH16" s="27"/>
      <c r="II16" s="27"/>
      <c r="IJ16" s="27"/>
      <c r="IK16" s="27"/>
      <c r="IL16" s="27"/>
      <c r="IM16" s="27"/>
      <c r="IN16" s="27"/>
      <c r="IO16" s="27"/>
      <c r="IP16" s="27"/>
      <c r="IQ16" s="27"/>
      <c r="IR16" s="27"/>
      <c r="IS16" s="27"/>
      <c r="IT16" s="27"/>
      <c r="IU16" s="27"/>
      <c r="IV16" s="27"/>
    </row>
    <row r="17" spans="1:256" s="2" customFormat="1" x14ac:dyDescent="0.25">
      <c r="A17" s="11">
        <v>1</v>
      </c>
      <c r="B17" s="32">
        <v>2</v>
      </c>
      <c r="C17" s="12">
        <v>3</v>
      </c>
      <c r="D17" s="12">
        <v>4</v>
      </c>
      <c r="E17" s="12">
        <v>5</v>
      </c>
      <c r="F17" s="12">
        <v>6</v>
      </c>
      <c r="G17" s="12">
        <v>7</v>
      </c>
      <c r="H17" s="12">
        <v>8</v>
      </c>
      <c r="I17" s="12">
        <v>9</v>
      </c>
      <c r="J17" s="33">
        <v>10</v>
      </c>
      <c r="K17" s="32">
        <v>2</v>
      </c>
      <c r="L17" s="12">
        <v>3</v>
      </c>
      <c r="M17" s="12">
        <v>4</v>
      </c>
      <c r="N17" s="12">
        <v>5</v>
      </c>
      <c r="O17" s="12">
        <v>6</v>
      </c>
      <c r="P17" s="12">
        <v>7</v>
      </c>
      <c r="Q17" s="12">
        <v>8</v>
      </c>
      <c r="R17" s="12">
        <v>9</v>
      </c>
      <c r="S17" s="33">
        <v>10</v>
      </c>
      <c r="IH17" s="34"/>
      <c r="II17" s="34"/>
      <c r="IJ17" s="34"/>
      <c r="IK17" s="34"/>
      <c r="IL17" s="34"/>
      <c r="IM17" s="34"/>
      <c r="IN17" s="34"/>
      <c r="IO17" s="34"/>
      <c r="IP17" s="34"/>
      <c r="IQ17" s="34"/>
      <c r="IR17" s="34"/>
      <c r="IS17" s="34"/>
      <c r="IT17" s="34"/>
      <c r="IU17" s="34"/>
      <c r="IV17" s="34"/>
    </row>
    <row r="18" spans="1:256" x14ac:dyDescent="0.25">
      <c r="A18" s="16" t="s">
        <v>12</v>
      </c>
      <c r="B18" s="35">
        <f>33693.33</f>
        <v>33693.33</v>
      </c>
      <c r="C18" s="17">
        <v>6840</v>
      </c>
      <c r="D18" s="17">
        <v>11526.67</v>
      </c>
      <c r="E18" s="17">
        <v>507.92</v>
      </c>
      <c r="F18" s="17"/>
      <c r="G18" s="17">
        <v>3964.4</v>
      </c>
      <c r="H18" s="17">
        <v>500</v>
      </c>
      <c r="I18" s="17"/>
      <c r="J18" s="36">
        <f t="shared" ref="J18:J25" si="4">SUM(B18:I18)</f>
        <v>57032.32</v>
      </c>
      <c r="K18" s="35">
        <f>3800*3</f>
        <v>11400</v>
      </c>
      <c r="L18" s="17">
        <f>760*3</f>
        <v>2280</v>
      </c>
      <c r="M18" s="17">
        <f>1300-3</f>
        <v>1297</v>
      </c>
      <c r="N18" s="17">
        <v>0</v>
      </c>
      <c r="O18" s="17"/>
      <c r="P18" s="17">
        <v>0</v>
      </c>
      <c r="Q18" s="17">
        <f>F4-H18</f>
        <v>2000</v>
      </c>
      <c r="R18" s="17"/>
      <c r="S18" s="36">
        <f t="shared" ref="S18:S25" si="5">SUM(K18:R18)</f>
        <v>16977</v>
      </c>
      <c r="IH18" s="4"/>
      <c r="II18" s="4"/>
      <c r="IJ18" s="4"/>
      <c r="IK18" s="4"/>
      <c r="IL18" s="4"/>
      <c r="IM18" s="4"/>
    </row>
    <row r="19" spans="1:256" x14ac:dyDescent="0.25">
      <c r="A19" s="16" t="s">
        <v>13</v>
      </c>
      <c r="B19" s="35">
        <v>14860.17</v>
      </c>
      <c r="C19" s="17">
        <v>2972.07</v>
      </c>
      <c r="D19" s="17">
        <v>6345</v>
      </c>
      <c r="E19" s="17"/>
      <c r="F19" s="17"/>
      <c r="G19" s="17">
        <v>2626.6</v>
      </c>
      <c r="H19" s="17">
        <v>1250</v>
      </c>
      <c r="I19" s="17"/>
      <c r="J19" s="36">
        <f t="shared" si="4"/>
        <v>28053.84</v>
      </c>
      <c r="K19" s="35">
        <f>1651.13*3</f>
        <v>4953.3900000000003</v>
      </c>
      <c r="L19" s="17">
        <f>330.23*3</f>
        <v>990.69</v>
      </c>
      <c r="M19" s="17">
        <f>705*3</f>
        <v>2115</v>
      </c>
      <c r="N19" s="17"/>
      <c r="O19" s="17"/>
      <c r="P19" s="17">
        <v>0</v>
      </c>
      <c r="Q19" s="17">
        <f>F5-H19</f>
        <v>250</v>
      </c>
      <c r="R19" s="17"/>
      <c r="S19" s="36">
        <f t="shared" si="5"/>
        <v>8309.08</v>
      </c>
      <c r="IH19" s="4"/>
      <c r="II19" s="4"/>
      <c r="IJ19" s="4"/>
      <c r="IK19" s="4"/>
      <c r="IL19" s="4"/>
      <c r="IM19" s="4"/>
    </row>
    <row r="20" spans="1:256" x14ac:dyDescent="0.25">
      <c r="A20" s="16" t="s">
        <v>14</v>
      </c>
      <c r="B20" s="35">
        <v>1850</v>
      </c>
      <c r="C20" s="17"/>
      <c r="D20" s="17"/>
      <c r="E20" s="17"/>
      <c r="F20" s="17"/>
      <c r="G20" s="17"/>
      <c r="H20" s="17"/>
      <c r="I20" s="17"/>
      <c r="J20" s="36">
        <f t="shared" si="4"/>
        <v>1850</v>
      </c>
      <c r="K20" s="35">
        <f>1850*2</f>
        <v>3700</v>
      </c>
      <c r="L20" s="17"/>
      <c r="M20" s="17"/>
      <c r="N20" s="17"/>
      <c r="O20" s="17"/>
      <c r="P20" s="17">
        <v>0</v>
      </c>
      <c r="Q20" s="17"/>
      <c r="R20" s="17"/>
      <c r="S20" s="36">
        <f t="shared" si="5"/>
        <v>3700</v>
      </c>
      <c r="IH20" s="4"/>
      <c r="II20" s="4"/>
      <c r="IJ20" s="4"/>
      <c r="IK20" s="4"/>
      <c r="IL20" s="4"/>
      <c r="IM20" s="4"/>
    </row>
    <row r="21" spans="1:256" x14ac:dyDescent="0.25">
      <c r="A21" s="16" t="s">
        <v>16</v>
      </c>
      <c r="B21" s="35">
        <v>15716.67</v>
      </c>
      <c r="C21" s="17">
        <v>3280</v>
      </c>
      <c r="D21" s="17"/>
      <c r="E21" s="17">
        <v>1314.48</v>
      </c>
      <c r="F21" s="17"/>
      <c r="G21" s="17">
        <v>2495.6</v>
      </c>
      <c r="H21" s="17">
        <v>1000</v>
      </c>
      <c r="I21" s="17"/>
      <c r="J21" s="36">
        <f t="shared" si="4"/>
        <v>23806.749999999996</v>
      </c>
      <c r="K21" s="35">
        <f>2050*3</f>
        <v>6150</v>
      </c>
      <c r="L21" s="17">
        <f>410*3</f>
        <v>1230</v>
      </c>
      <c r="M21" s="17"/>
      <c r="N21" s="17">
        <v>0</v>
      </c>
      <c r="O21" s="17"/>
      <c r="P21" s="17">
        <v>0</v>
      </c>
      <c r="Q21" s="17">
        <f>F8-H21</f>
        <v>500</v>
      </c>
      <c r="R21" s="17"/>
      <c r="S21" s="36">
        <f t="shared" si="5"/>
        <v>7880</v>
      </c>
      <c r="IH21" s="4"/>
      <c r="II21" s="4"/>
      <c r="IJ21" s="4"/>
      <c r="IK21" s="4"/>
      <c r="IL21" s="4"/>
      <c r="IM21" s="4"/>
    </row>
    <row r="22" spans="1:256" x14ac:dyDescent="0.25">
      <c r="A22" s="16" t="s">
        <v>17</v>
      </c>
      <c r="B22" s="35">
        <v>9576</v>
      </c>
      <c r="C22" s="17">
        <v>1915.2</v>
      </c>
      <c r="D22" s="17"/>
      <c r="E22" s="17"/>
      <c r="F22" s="17"/>
      <c r="G22" s="17">
        <v>2443.9</v>
      </c>
      <c r="H22" s="17">
        <v>550</v>
      </c>
      <c r="I22" s="17"/>
      <c r="J22" s="36">
        <f t="shared" si="4"/>
        <v>14485.1</v>
      </c>
      <c r="K22" s="35">
        <f>1064*3</f>
        <v>3192</v>
      </c>
      <c r="L22" s="17">
        <f>212.8*3</f>
        <v>638.40000000000009</v>
      </c>
      <c r="M22" s="17"/>
      <c r="N22" s="17"/>
      <c r="O22" s="17"/>
      <c r="P22" s="17">
        <v>0</v>
      </c>
      <c r="Q22" s="17">
        <f>F9-H22</f>
        <v>450</v>
      </c>
      <c r="R22" s="17"/>
      <c r="S22" s="36">
        <f t="shared" si="5"/>
        <v>4280.3999999999996</v>
      </c>
      <c r="IH22" s="4"/>
      <c r="II22" s="4"/>
      <c r="IJ22" s="4"/>
      <c r="IK22" s="4"/>
      <c r="IL22" s="4"/>
      <c r="IM22" s="4"/>
    </row>
    <row r="23" spans="1:256" x14ac:dyDescent="0.25">
      <c r="A23" s="16" t="s">
        <v>17</v>
      </c>
      <c r="B23" s="35"/>
      <c r="C23" s="17"/>
      <c r="D23" s="17"/>
      <c r="E23" s="17"/>
      <c r="F23" s="17"/>
      <c r="G23" s="17"/>
      <c r="H23" s="17"/>
      <c r="I23" s="17"/>
      <c r="J23" s="37">
        <f t="shared" si="4"/>
        <v>0</v>
      </c>
      <c r="K23" s="35"/>
      <c r="L23" s="17"/>
      <c r="M23" s="17"/>
      <c r="N23" s="17"/>
      <c r="O23" s="17"/>
      <c r="P23" s="17">
        <v>0</v>
      </c>
      <c r="Q23" s="17"/>
      <c r="R23" s="17"/>
      <c r="S23" s="36">
        <f t="shared" si="5"/>
        <v>0</v>
      </c>
      <c r="IH23" s="4"/>
      <c r="II23" s="4"/>
      <c r="IJ23" s="4"/>
      <c r="IK23" s="4"/>
      <c r="IL23" s="4"/>
      <c r="IM23" s="4"/>
    </row>
    <row r="24" spans="1:256" ht="12.75" customHeight="1" x14ac:dyDescent="0.25">
      <c r="A24" s="16" t="s">
        <v>18</v>
      </c>
      <c r="B24" s="35">
        <v>14718.84</v>
      </c>
      <c r="C24" s="17">
        <v>2943.77</v>
      </c>
      <c r="D24" s="17"/>
      <c r="E24" s="17"/>
      <c r="F24" s="17"/>
      <c r="G24" s="17">
        <v>1782.56</v>
      </c>
      <c r="H24" s="17">
        <v>550</v>
      </c>
      <c r="I24" s="17"/>
      <c r="J24" s="36">
        <f t="shared" si="4"/>
        <v>19995.170000000002</v>
      </c>
      <c r="K24" s="35">
        <f>1650*3</f>
        <v>4950</v>
      </c>
      <c r="L24" s="17">
        <f>330*3</f>
        <v>990</v>
      </c>
      <c r="M24" s="17"/>
      <c r="N24" s="17"/>
      <c r="O24" s="17"/>
      <c r="P24" s="17">
        <v>0</v>
      </c>
      <c r="Q24" s="17">
        <f>F10-H24</f>
        <v>950</v>
      </c>
      <c r="R24" s="17"/>
      <c r="S24" s="36">
        <f t="shared" si="5"/>
        <v>6890</v>
      </c>
      <c r="IH24" s="4"/>
      <c r="II24" s="4"/>
      <c r="IJ24" s="4"/>
      <c r="IK24" s="4"/>
      <c r="IL24" s="4"/>
      <c r="IM24" s="4"/>
    </row>
    <row r="25" spans="1:256" x14ac:dyDescent="0.25">
      <c r="A25" s="16" t="s">
        <v>19</v>
      </c>
      <c r="B25" s="35">
        <v>26118</v>
      </c>
      <c r="C25" s="17">
        <v>5223.6000000000004</v>
      </c>
      <c r="D25" s="17"/>
      <c r="E25" s="17"/>
      <c r="F25" s="17"/>
      <c r="G25" s="17">
        <v>3154.98</v>
      </c>
      <c r="H25" s="17">
        <v>1900</v>
      </c>
      <c r="I25" s="17"/>
      <c r="J25" s="36">
        <f t="shared" si="4"/>
        <v>36396.58</v>
      </c>
      <c r="K25" s="35">
        <f>2902*3</f>
        <v>8706</v>
      </c>
      <c r="L25" s="17">
        <f>580.4*3</f>
        <v>1741.1999999999998</v>
      </c>
      <c r="M25" s="17"/>
      <c r="N25" s="17"/>
      <c r="O25" s="17"/>
      <c r="P25" s="17">
        <v>0</v>
      </c>
      <c r="Q25" s="17">
        <f>F11-H25</f>
        <v>100</v>
      </c>
      <c r="R25" s="17"/>
      <c r="S25" s="36">
        <f t="shared" si="5"/>
        <v>10547.2</v>
      </c>
      <c r="IH25" s="4"/>
      <c r="II25" s="4"/>
      <c r="IJ25" s="4"/>
      <c r="IK25" s="4"/>
      <c r="IL25" s="4"/>
      <c r="IM25" s="4"/>
    </row>
    <row r="26" spans="1:256" s="25" customFormat="1" x14ac:dyDescent="0.25">
      <c r="A26" s="22" t="s">
        <v>8</v>
      </c>
      <c r="B26" s="38">
        <f t="shared" ref="B26:S26" si="6">SUM(B18:B25)</f>
        <v>116533.01</v>
      </c>
      <c r="C26" s="38">
        <f t="shared" si="6"/>
        <v>23174.639999999999</v>
      </c>
      <c r="D26" s="38">
        <f t="shared" si="6"/>
        <v>17871.669999999998</v>
      </c>
      <c r="E26" s="38">
        <f t="shared" si="6"/>
        <v>1822.4</v>
      </c>
      <c r="F26" s="38">
        <f t="shared" si="6"/>
        <v>0</v>
      </c>
      <c r="G26" s="38">
        <f t="shared" si="6"/>
        <v>16468.04</v>
      </c>
      <c r="H26" s="38">
        <f t="shared" si="6"/>
        <v>5750</v>
      </c>
      <c r="I26" s="38">
        <f t="shared" si="6"/>
        <v>0</v>
      </c>
      <c r="J26" s="39">
        <f t="shared" si="6"/>
        <v>181619.76</v>
      </c>
      <c r="K26" s="38">
        <f t="shared" si="6"/>
        <v>43051.39</v>
      </c>
      <c r="L26" s="38">
        <f t="shared" si="6"/>
        <v>7870.29</v>
      </c>
      <c r="M26" s="38">
        <f t="shared" si="6"/>
        <v>3412</v>
      </c>
      <c r="N26" s="38">
        <f t="shared" si="6"/>
        <v>0</v>
      </c>
      <c r="O26" s="38">
        <f t="shared" si="6"/>
        <v>0</v>
      </c>
      <c r="P26" s="38">
        <f t="shared" si="6"/>
        <v>0</v>
      </c>
      <c r="Q26" s="38">
        <f t="shared" si="6"/>
        <v>4250</v>
      </c>
      <c r="R26" s="38">
        <f t="shared" si="6"/>
        <v>0</v>
      </c>
      <c r="S26" s="39">
        <f t="shared" si="6"/>
        <v>58583.680000000008</v>
      </c>
      <c r="IH26" s="27"/>
      <c r="II26" s="27"/>
      <c r="IJ26" s="27"/>
      <c r="IK26" s="27"/>
      <c r="IL26" s="27"/>
      <c r="IM26" s="27"/>
      <c r="IN26" s="27"/>
      <c r="IO26" s="27"/>
      <c r="IP26" s="27"/>
      <c r="IQ26" s="27"/>
      <c r="IR26" s="27"/>
      <c r="IS26" s="27"/>
      <c r="IT26" s="27"/>
      <c r="IU26" s="27"/>
      <c r="IV26" s="27"/>
    </row>
    <row r="27" spans="1:256" s="25" customFormat="1" x14ac:dyDescent="0.25">
      <c r="B27" s="418">
        <f>B26+C26+D26+F26+E26</f>
        <v>159401.72</v>
      </c>
      <c r="C27" s="418"/>
      <c r="D27" s="418"/>
      <c r="E27" s="418"/>
      <c r="F27" s="418"/>
      <c r="G27" s="419">
        <f>G26+H26</f>
        <v>22218.04</v>
      </c>
      <c r="H27" s="419"/>
      <c r="K27" s="40"/>
    </row>
    <row r="28" spans="1:256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</row>
    <row r="29" spans="1:256" s="42" customFormat="1" x14ac:dyDescent="0.2">
      <c r="A29" s="420" t="s">
        <v>24</v>
      </c>
      <c r="B29" s="420"/>
      <c r="C29" s="420"/>
      <c r="D29" s="420"/>
      <c r="E29" s="420"/>
      <c r="F29" s="420"/>
      <c r="G29" s="420"/>
      <c r="H29" s="420"/>
      <c r="I29" s="420"/>
      <c r="J29" s="420"/>
      <c r="K29" s="420"/>
      <c r="L29" s="420"/>
      <c r="M29" s="420"/>
      <c r="N29" s="41"/>
      <c r="O29" s="41"/>
      <c r="P29" s="41"/>
      <c r="Q29" s="41"/>
      <c r="R29" s="41"/>
      <c r="S29" s="41"/>
      <c r="IN29" s="43"/>
      <c r="IO29" s="43"/>
      <c r="IP29" s="43"/>
      <c r="IQ29" s="43"/>
      <c r="IR29" s="43"/>
      <c r="IS29" s="43"/>
      <c r="IT29" s="43"/>
      <c r="IU29" s="43"/>
      <c r="IV29" s="43"/>
    </row>
    <row r="30" spans="1:256" s="25" customFormat="1" x14ac:dyDescent="0.25">
      <c r="B30" s="417" t="s">
        <v>25</v>
      </c>
      <c r="C30" s="417"/>
      <c r="D30" s="417"/>
      <c r="E30" s="421" t="s">
        <v>26</v>
      </c>
      <c r="F30" s="421"/>
      <c r="G30" s="421"/>
      <c r="H30" s="421"/>
      <c r="I30" s="421"/>
      <c r="J30" s="421"/>
      <c r="K30" s="421"/>
      <c r="L30" s="422" t="s">
        <v>27</v>
      </c>
      <c r="M30" s="422"/>
      <c r="N30" s="41"/>
      <c r="O30" s="41"/>
      <c r="P30" s="41"/>
      <c r="Q30" s="41"/>
      <c r="R30" s="41"/>
      <c r="S30" s="41"/>
      <c r="IN30" s="27"/>
      <c r="IO30" s="27"/>
      <c r="IP30" s="27"/>
      <c r="IQ30" s="27"/>
      <c r="IR30" s="27"/>
      <c r="IS30" s="27"/>
      <c r="IT30" s="27"/>
      <c r="IU30" s="27"/>
      <c r="IV30" s="27"/>
    </row>
    <row r="31" spans="1:256" s="25" customFormat="1" ht="30" x14ac:dyDescent="0.25">
      <c r="A31" s="7" t="s">
        <v>1</v>
      </c>
      <c r="B31" s="28" t="s">
        <v>2</v>
      </c>
      <c r="C31" s="29" t="s">
        <v>3</v>
      </c>
      <c r="D31" s="44" t="s">
        <v>4</v>
      </c>
      <c r="E31" s="7" t="s">
        <v>2</v>
      </c>
      <c r="F31" s="8" t="s">
        <v>3</v>
      </c>
      <c r="G31" s="45" t="s">
        <v>4</v>
      </c>
      <c r="H31" s="9" t="s">
        <v>5</v>
      </c>
      <c r="I31" s="9" t="s">
        <v>6</v>
      </c>
      <c r="J31" s="9" t="s">
        <v>7</v>
      </c>
      <c r="K31" s="46" t="s">
        <v>8</v>
      </c>
      <c r="L31" s="10" t="s">
        <v>9</v>
      </c>
      <c r="M31" s="10" t="s">
        <v>10</v>
      </c>
      <c r="N31" s="41"/>
      <c r="O31" s="41"/>
      <c r="P31" s="41"/>
      <c r="Q31" s="41"/>
      <c r="R31" s="41"/>
      <c r="S31" s="41"/>
      <c r="IN31" s="27"/>
      <c r="IO31" s="27"/>
      <c r="IP31" s="27"/>
      <c r="IQ31" s="27"/>
      <c r="IR31" s="27"/>
      <c r="IS31" s="27"/>
      <c r="IT31" s="27"/>
      <c r="IU31" s="27"/>
      <c r="IV31" s="27"/>
    </row>
    <row r="32" spans="1:256" s="25" customFormat="1" x14ac:dyDescent="0.25">
      <c r="A32" s="11">
        <v>1</v>
      </c>
      <c r="B32" s="47">
        <v>2</v>
      </c>
      <c r="C32" s="48">
        <v>3</v>
      </c>
      <c r="D32" s="49">
        <v>4</v>
      </c>
      <c r="E32" s="50">
        <v>5</v>
      </c>
      <c r="F32" s="51">
        <v>6</v>
      </c>
      <c r="G32" s="51">
        <v>7</v>
      </c>
      <c r="H32" s="52">
        <v>8</v>
      </c>
      <c r="I32" s="52">
        <v>9</v>
      </c>
      <c r="J32" s="52">
        <v>10</v>
      </c>
      <c r="K32" s="53" t="s">
        <v>28</v>
      </c>
      <c r="L32" s="14">
        <v>12</v>
      </c>
      <c r="M32" s="14">
        <v>13</v>
      </c>
      <c r="N32" s="41"/>
      <c r="O32" s="41"/>
      <c r="P32" s="41"/>
      <c r="Q32" s="41"/>
      <c r="R32" s="41"/>
      <c r="S32" s="41"/>
      <c r="IN32" s="27"/>
      <c r="IO32" s="27"/>
      <c r="IP32" s="27"/>
      <c r="IQ32" s="27"/>
      <c r="IR32" s="27"/>
      <c r="IS32" s="27"/>
      <c r="IT32" s="27"/>
      <c r="IU32" s="27"/>
      <c r="IV32" s="27"/>
    </row>
    <row r="33" spans="1:256" x14ac:dyDescent="0.25">
      <c r="A33" s="16" t="s">
        <v>12</v>
      </c>
      <c r="B33" s="35">
        <v>3800</v>
      </c>
      <c r="C33" s="54">
        <v>760</v>
      </c>
      <c r="D33" s="55">
        <v>1300</v>
      </c>
      <c r="E33" s="56">
        <f t="shared" ref="E33:G40" si="7">B33*12</f>
        <v>45600</v>
      </c>
      <c r="F33" s="57">
        <f t="shared" si="7"/>
        <v>9120</v>
      </c>
      <c r="G33" s="57">
        <f t="shared" si="7"/>
        <v>15600</v>
      </c>
      <c r="H33" s="58">
        <f>(E33+F33+G33)*0.085</f>
        <v>5977.2000000000007</v>
      </c>
      <c r="I33" s="58">
        <v>2000</v>
      </c>
      <c r="J33" s="58"/>
      <c r="K33" s="59">
        <f t="shared" ref="K33:K40" si="8">SUM(E33:J33)</f>
        <v>78297.2</v>
      </c>
      <c r="L33" s="60">
        <f>K33*0.1806</f>
        <v>14140.474320000001</v>
      </c>
      <c r="M33" s="61">
        <f>K33*0.0245</f>
        <v>1918.2814000000001</v>
      </c>
      <c r="N33"/>
      <c r="O33"/>
      <c r="P33"/>
      <c r="Q33"/>
      <c r="R33"/>
      <c r="S33"/>
    </row>
    <row r="34" spans="1:256" x14ac:dyDescent="0.25">
      <c r="A34" s="16" t="s">
        <v>13</v>
      </c>
      <c r="B34" s="35">
        <v>1651.13</v>
      </c>
      <c r="C34" s="54">
        <v>330.23</v>
      </c>
      <c r="D34" s="55">
        <v>705</v>
      </c>
      <c r="E34" s="56">
        <f t="shared" si="7"/>
        <v>19813.560000000001</v>
      </c>
      <c r="F34" s="57">
        <f t="shared" si="7"/>
        <v>3962.76</v>
      </c>
      <c r="G34" s="57">
        <f t="shared" si="7"/>
        <v>8460</v>
      </c>
      <c r="H34" s="58">
        <f>(E34+F34+G34)*0.085</f>
        <v>2740.0872000000004</v>
      </c>
      <c r="I34" s="58">
        <v>2000</v>
      </c>
      <c r="J34" s="58"/>
      <c r="K34" s="59">
        <f t="shared" si="8"/>
        <v>36976.407200000001</v>
      </c>
      <c r="L34" s="62">
        <f>K34*0.1806</f>
        <v>6677.9391403200007</v>
      </c>
      <c r="M34" s="59">
        <f>K34*0.0245</f>
        <v>905.92197640000006</v>
      </c>
      <c r="N34"/>
      <c r="O34"/>
      <c r="P34"/>
      <c r="Q34"/>
      <c r="R34"/>
      <c r="S34"/>
    </row>
    <row r="35" spans="1:256" x14ac:dyDescent="0.25">
      <c r="A35" s="16" t="s">
        <v>14</v>
      </c>
      <c r="B35" s="35"/>
      <c r="C35" s="54"/>
      <c r="D35" s="55"/>
      <c r="E35" s="63">
        <f t="shared" si="7"/>
        <v>0</v>
      </c>
      <c r="F35" s="64">
        <f t="shared" si="7"/>
        <v>0</v>
      </c>
      <c r="G35" s="64">
        <f t="shared" si="7"/>
        <v>0</v>
      </c>
      <c r="H35" s="58">
        <f>(E35+F35+G35)*0.085</f>
        <v>0</v>
      </c>
      <c r="I35" s="58">
        <v>0</v>
      </c>
      <c r="J35" s="58"/>
      <c r="K35" s="59">
        <f t="shared" si="8"/>
        <v>0</v>
      </c>
      <c r="L35" s="62"/>
      <c r="M35" s="59"/>
      <c r="N35"/>
      <c r="O35"/>
      <c r="P35"/>
      <c r="Q35"/>
      <c r="R35"/>
      <c r="S35"/>
    </row>
    <row r="36" spans="1:256" x14ac:dyDescent="0.25">
      <c r="A36" s="16" t="s">
        <v>16</v>
      </c>
      <c r="B36" s="35">
        <v>2050</v>
      </c>
      <c r="C36" s="54">
        <v>410</v>
      </c>
      <c r="D36" s="55"/>
      <c r="E36" s="56">
        <f t="shared" si="7"/>
        <v>24600</v>
      </c>
      <c r="F36" s="57">
        <f t="shared" si="7"/>
        <v>4920</v>
      </c>
      <c r="G36" s="64">
        <f t="shared" si="7"/>
        <v>0</v>
      </c>
      <c r="H36" s="58">
        <f>(E36+F36+G36)*0.085</f>
        <v>2509.2000000000003</v>
      </c>
      <c r="I36" s="58">
        <v>2000</v>
      </c>
      <c r="J36" s="58"/>
      <c r="K36" s="59">
        <f t="shared" si="8"/>
        <v>34029.199999999997</v>
      </c>
      <c r="L36" s="62">
        <f>K36*0.1806</f>
        <v>6145.6735200000003</v>
      </c>
      <c r="M36" s="59">
        <f>K36*0.0245</f>
        <v>833.71539999999993</v>
      </c>
      <c r="N36"/>
      <c r="O36"/>
      <c r="P36"/>
      <c r="Q36"/>
      <c r="R36"/>
      <c r="S36"/>
    </row>
    <row r="37" spans="1:256" x14ac:dyDescent="0.25">
      <c r="A37" s="16" t="s">
        <v>17</v>
      </c>
      <c r="B37" s="35">
        <v>1064</v>
      </c>
      <c r="C37" s="54">
        <v>212.8</v>
      </c>
      <c r="D37" s="55"/>
      <c r="E37" s="56">
        <f t="shared" si="7"/>
        <v>12768</v>
      </c>
      <c r="F37" s="57">
        <f t="shared" si="7"/>
        <v>2553.6000000000004</v>
      </c>
      <c r="G37" s="64">
        <f t="shared" si="7"/>
        <v>0</v>
      </c>
      <c r="H37" s="58">
        <f>(E37+F37+G37)*0.085</f>
        <v>1302.336</v>
      </c>
      <c r="I37" s="58">
        <v>1500</v>
      </c>
      <c r="J37" s="58"/>
      <c r="K37" s="59">
        <f t="shared" si="8"/>
        <v>18123.936000000002</v>
      </c>
      <c r="L37" s="62">
        <f>K37*0.1806</f>
        <v>3273.1828416000003</v>
      </c>
      <c r="M37" s="59">
        <f>K37*0.0245</f>
        <v>444.03643200000005</v>
      </c>
      <c r="N37"/>
      <c r="O37"/>
      <c r="P37"/>
      <c r="Q37"/>
      <c r="R37"/>
      <c r="S37"/>
    </row>
    <row r="38" spans="1:256" x14ac:dyDescent="0.25">
      <c r="A38" s="16" t="s">
        <v>17</v>
      </c>
      <c r="B38" s="35">
        <v>2200</v>
      </c>
      <c r="C38" s="54">
        <v>440</v>
      </c>
      <c r="D38" s="55"/>
      <c r="E38" s="56">
        <f t="shared" si="7"/>
        <v>26400</v>
      </c>
      <c r="F38" s="57">
        <f t="shared" si="7"/>
        <v>5280</v>
      </c>
      <c r="G38" s="64">
        <f t="shared" si="7"/>
        <v>0</v>
      </c>
      <c r="H38" s="58">
        <v>0</v>
      </c>
      <c r="I38" s="58">
        <v>2000</v>
      </c>
      <c r="J38" s="57"/>
      <c r="K38" s="59">
        <f t="shared" si="8"/>
        <v>33680</v>
      </c>
      <c r="L38" s="62">
        <f>K38*0.1806</f>
        <v>6082.6080000000002</v>
      </c>
      <c r="M38" s="59">
        <f>K38*0.0245</f>
        <v>825.16000000000008</v>
      </c>
      <c r="N38"/>
      <c r="O38"/>
      <c r="P38"/>
      <c r="Q38"/>
      <c r="R38"/>
      <c r="S38"/>
    </row>
    <row r="39" spans="1:256" x14ac:dyDescent="0.25">
      <c r="A39" s="16" t="s">
        <v>18</v>
      </c>
      <c r="B39" s="35">
        <v>1650</v>
      </c>
      <c r="C39" s="54">
        <v>330</v>
      </c>
      <c r="D39" s="55"/>
      <c r="E39" s="56">
        <f t="shared" si="7"/>
        <v>19800</v>
      </c>
      <c r="F39" s="57">
        <f t="shared" si="7"/>
        <v>3960</v>
      </c>
      <c r="G39" s="64">
        <f t="shared" si="7"/>
        <v>0</v>
      </c>
      <c r="H39" s="58">
        <f>(E39+F39+G39)*0.085</f>
        <v>2019.6000000000001</v>
      </c>
      <c r="I39" s="58">
        <v>1500</v>
      </c>
      <c r="J39" s="58">
        <f>(B39+C39)*3</f>
        <v>5940</v>
      </c>
      <c r="K39" s="59">
        <f t="shared" si="8"/>
        <v>33219.599999999999</v>
      </c>
      <c r="L39" s="62">
        <f>K39*0.1806</f>
        <v>5999.4597599999997</v>
      </c>
      <c r="M39" s="59">
        <f>K39*0.0245</f>
        <v>813.88019999999995</v>
      </c>
      <c r="N39"/>
      <c r="O39"/>
      <c r="P39"/>
      <c r="Q39"/>
      <c r="R39"/>
      <c r="S39"/>
    </row>
    <row r="40" spans="1:256" x14ac:dyDescent="0.25">
      <c r="A40" s="16" t="s">
        <v>19</v>
      </c>
      <c r="B40" s="35">
        <v>2902</v>
      </c>
      <c r="C40" s="54">
        <v>580.4</v>
      </c>
      <c r="D40" s="55"/>
      <c r="E40" s="65">
        <f t="shared" si="7"/>
        <v>34824</v>
      </c>
      <c r="F40" s="66">
        <f t="shared" si="7"/>
        <v>6964.7999999999993</v>
      </c>
      <c r="G40" s="67">
        <f t="shared" si="7"/>
        <v>0</v>
      </c>
      <c r="H40" s="58">
        <f>(E40+F40+G40)*0.085</f>
        <v>3552.0480000000007</v>
      </c>
      <c r="I40" s="68">
        <v>2000</v>
      </c>
      <c r="J40" s="68"/>
      <c r="K40" s="69">
        <f t="shared" si="8"/>
        <v>47340.848000000005</v>
      </c>
      <c r="L40" s="70">
        <f>K40*0.1806</f>
        <v>8549.7571488000012</v>
      </c>
      <c r="M40" s="69">
        <f>K40*0.0245</f>
        <v>1159.8507760000002</v>
      </c>
      <c r="N40"/>
      <c r="O40"/>
      <c r="P40"/>
      <c r="Q40"/>
      <c r="R40"/>
      <c r="S40"/>
    </row>
    <row r="41" spans="1:256" s="25" customFormat="1" x14ac:dyDescent="0.25">
      <c r="A41" s="22"/>
      <c r="B41" s="38">
        <f t="shared" ref="B41:G41" si="9">SUM(B33:B40)</f>
        <v>15317.130000000001</v>
      </c>
      <c r="C41" s="71">
        <f t="shared" si="9"/>
        <v>3063.43</v>
      </c>
      <c r="D41" s="72">
        <f t="shared" si="9"/>
        <v>2005</v>
      </c>
      <c r="E41" s="38">
        <f t="shared" si="9"/>
        <v>183805.56</v>
      </c>
      <c r="F41" s="71">
        <f t="shared" si="9"/>
        <v>36761.160000000003</v>
      </c>
      <c r="G41" s="72">
        <f t="shared" si="9"/>
        <v>24060</v>
      </c>
      <c r="H41" s="23">
        <f t="shared" ref="H41:M41" si="10">SUM(H33:H39)</f>
        <v>14548.423200000001</v>
      </c>
      <c r="I41" s="23">
        <f t="shared" si="10"/>
        <v>11000</v>
      </c>
      <c r="J41" s="23">
        <f t="shared" si="10"/>
        <v>5940</v>
      </c>
      <c r="K41" s="23">
        <f t="shared" si="10"/>
        <v>234326.34319999997</v>
      </c>
      <c r="L41" s="24">
        <f t="shared" si="10"/>
        <v>42319.337581920001</v>
      </c>
      <c r="M41" s="24">
        <f t="shared" si="10"/>
        <v>5740.9954084000001</v>
      </c>
      <c r="N41" s="41"/>
      <c r="O41" s="41"/>
      <c r="P41" s="41"/>
      <c r="Q41" s="41"/>
      <c r="R41" s="41"/>
      <c r="S41" s="41"/>
      <c r="IN41" s="27"/>
      <c r="IO41" s="27"/>
      <c r="IP41" s="27"/>
      <c r="IQ41" s="27"/>
      <c r="IR41" s="27"/>
      <c r="IS41" s="27"/>
      <c r="IT41" s="27"/>
      <c r="IU41" s="27"/>
      <c r="IV41" s="27"/>
    </row>
    <row r="42" spans="1:256" x14ac:dyDescent="0.25">
      <c r="A42" s="73" t="s">
        <v>29</v>
      </c>
      <c r="B42" s="74">
        <f>B41*12</f>
        <v>183805.56</v>
      </c>
      <c r="C42" s="75">
        <f>C41*12</f>
        <v>36761.159999999996</v>
      </c>
      <c r="D42" s="76">
        <f>D41*12</f>
        <v>24060</v>
      </c>
      <c r="E42" s="4"/>
      <c r="F42" s="4"/>
      <c r="G42" s="4"/>
      <c r="H42" s="4"/>
      <c r="I42" s="4"/>
      <c r="J42" s="4"/>
      <c r="K42" s="4"/>
      <c r="L42" s="4"/>
      <c r="M42" s="4"/>
      <c r="N42"/>
      <c r="O42"/>
      <c r="P42"/>
      <c r="Q42"/>
      <c r="R42"/>
      <c r="S42"/>
    </row>
    <row r="43" spans="1:256" x14ac:dyDescent="0.25">
      <c r="A43" s="77" t="s">
        <v>30</v>
      </c>
      <c r="B43" s="423">
        <v>244626.72</v>
      </c>
      <c r="C43" s="423"/>
      <c r="D43" s="423"/>
      <c r="E43" s="4"/>
      <c r="K43" s="1"/>
      <c r="N43"/>
      <c r="O43"/>
      <c r="P43"/>
      <c r="Q43"/>
      <c r="R43"/>
      <c r="S43"/>
    </row>
    <row r="44" spans="1:256" x14ac:dyDescent="0.25">
      <c r="A44" s="78" t="s">
        <v>31</v>
      </c>
      <c r="B44" s="424">
        <f>B43/12</f>
        <v>20385.560000000001</v>
      </c>
      <c r="C44" s="424"/>
      <c r="D44" s="424"/>
      <c r="E44" s="4"/>
      <c r="K44" s="1"/>
      <c r="N44"/>
      <c r="O44"/>
      <c r="P44"/>
      <c r="Q44"/>
      <c r="R44"/>
      <c r="S44"/>
    </row>
    <row r="45" spans="1:256" x14ac:dyDescent="0.25">
      <c r="A45"/>
      <c r="B45" s="4"/>
      <c r="C45" s="4"/>
      <c r="D45" s="4"/>
      <c r="E45" s="4"/>
    </row>
    <row r="46" spans="1:256" x14ac:dyDescent="0.25">
      <c r="A46"/>
      <c r="B46" s="415" t="s">
        <v>0</v>
      </c>
      <c r="C46" s="415"/>
      <c r="D46" s="415"/>
      <c r="E46" s="415" t="s">
        <v>32</v>
      </c>
      <c r="F46" s="415"/>
      <c r="G46" s="415"/>
      <c r="H46"/>
      <c r="I46"/>
      <c r="J46"/>
      <c r="K46"/>
      <c r="L46"/>
      <c r="M46"/>
      <c r="N46"/>
      <c r="O46"/>
    </row>
    <row r="47" spans="1:256" ht="30" x14ac:dyDescent="0.25">
      <c r="A47" s="7" t="s">
        <v>1</v>
      </c>
      <c r="B47" s="79" t="s">
        <v>33</v>
      </c>
      <c r="C47" s="80" t="s">
        <v>9</v>
      </c>
      <c r="D47" s="81" t="s">
        <v>34</v>
      </c>
      <c r="E47" s="79" t="s">
        <v>33</v>
      </c>
      <c r="F47" s="80" t="s">
        <v>9</v>
      </c>
      <c r="G47" s="81" t="s">
        <v>34</v>
      </c>
      <c r="H47"/>
      <c r="I47" s="417" t="s">
        <v>27</v>
      </c>
      <c r="J47" s="417"/>
      <c r="K47" s="417"/>
      <c r="L47" s="417"/>
      <c r="M47" s="417"/>
      <c r="N47" s="417"/>
      <c r="O47" s="417"/>
      <c r="P47" s="417"/>
      <c r="IN47" s="1"/>
    </row>
    <row r="48" spans="1:256" x14ac:dyDescent="0.25">
      <c r="A48" s="16" t="s">
        <v>35</v>
      </c>
      <c r="B48" s="62">
        <f>320*12</f>
        <v>3840</v>
      </c>
      <c r="C48" s="58">
        <f>B48*0.1806</f>
        <v>693.50400000000002</v>
      </c>
      <c r="D48" s="59">
        <f>B48*0.0245</f>
        <v>94.08</v>
      </c>
      <c r="E48" s="62">
        <v>2880</v>
      </c>
      <c r="F48" s="82">
        <v>520.11</v>
      </c>
      <c r="G48" s="59">
        <v>0</v>
      </c>
      <c r="H48"/>
      <c r="I48" s="417" t="s">
        <v>36</v>
      </c>
      <c r="J48" s="417"/>
      <c r="K48" s="427" t="s">
        <v>0</v>
      </c>
      <c r="L48" s="427"/>
      <c r="M48" s="428" t="s">
        <v>37</v>
      </c>
      <c r="N48" s="428"/>
      <c r="O48" s="417" t="s">
        <v>38</v>
      </c>
      <c r="P48" s="417"/>
      <c r="IN48" s="1"/>
    </row>
    <row r="49" spans="1:248" x14ac:dyDescent="0.25">
      <c r="A49" s="16" t="s">
        <v>39</v>
      </c>
      <c r="B49" s="62">
        <v>13620</v>
      </c>
      <c r="C49" s="58">
        <f>B49*0.1806</f>
        <v>2459.7719999999999</v>
      </c>
      <c r="D49" s="59">
        <f>B49*0.0245</f>
        <v>333.69</v>
      </c>
      <c r="E49" s="62">
        <v>9348.48</v>
      </c>
      <c r="F49" s="82">
        <v>0</v>
      </c>
      <c r="G49" s="59">
        <v>0</v>
      </c>
      <c r="H49"/>
      <c r="I49" s="417"/>
      <c r="J49" s="417"/>
      <c r="K49" s="83" t="s">
        <v>9</v>
      </c>
      <c r="L49" s="84" t="s">
        <v>10</v>
      </c>
      <c r="M49" s="83" t="s">
        <v>9</v>
      </c>
      <c r="N49" s="84" t="s">
        <v>10</v>
      </c>
      <c r="O49" s="83" t="s">
        <v>9</v>
      </c>
      <c r="P49" s="84" t="s">
        <v>10</v>
      </c>
      <c r="IN49" s="1"/>
    </row>
    <row r="50" spans="1:248" x14ac:dyDescent="0.25">
      <c r="A50" s="16" t="s">
        <v>40</v>
      </c>
      <c r="B50" s="62"/>
      <c r="C50" s="58">
        <f>B50*0.1806</f>
        <v>0</v>
      </c>
      <c r="D50" s="59">
        <f>B50*0.0245</f>
        <v>0</v>
      </c>
      <c r="E50" s="62"/>
      <c r="F50" s="82">
        <v>0</v>
      </c>
      <c r="G50" s="59">
        <v>0</v>
      </c>
      <c r="H50"/>
      <c r="I50" s="425" t="s">
        <v>41</v>
      </c>
      <c r="J50" s="425"/>
      <c r="K50" s="85">
        <f>I12</f>
        <v>45885.042000000001</v>
      </c>
      <c r="L50" s="36">
        <f>J12</f>
        <v>6224.7150000000001</v>
      </c>
      <c r="M50" s="85">
        <v>32579.54</v>
      </c>
      <c r="N50" s="36">
        <v>2020.98</v>
      </c>
      <c r="O50" s="85">
        <f>L41</f>
        <v>42319.337581920001</v>
      </c>
      <c r="P50" s="36">
        <f>M41</f>
        <v>5740.9954084000001</v>
      </c>
      <c r="IN50" s="1"/>
    </row>
    <row r="51" spans="1:248" x14ac:dyDescent="0.25">
      <c r="A51" s="16" t="s">
        <v>42</v>
      </c>
      <c r="B51" s="62">
        <v>16160</v>
      </c>
      <c r="C51" s="58">
        <f>B51*0.1806</f>
        <v>2918.4960000000001</v>
      </c>
      <c r="D51" s="59">
        <f>B51*0.0245</f>
        <v>395.92</v>
      </c>
      <c r="E51" s="62">
        <v>10435.92</v>
      </c>
      <c r="F51" s="82">
        <v>0</v>
      </c>
      <c r="G51" s="59">
        <v>0</v>
      </c>
      <c r="H51"/>
      <c r="I51" s="425" t="s">
        <v>43</v>
      </c>
      <c r="J51" s="425"/>
      <c r="K51" s="86">
        <f>C58</f>
        <v>6803.2020000000002</v>
      </c>
      <c r="L51" s="87">
        <f>D58</f>
        <v>922.91500000000008</v>
      </c>
      <c r="M51" s="86">
        <v>520.11</v>
      </c>
      <c r="N51" s="87"/>
      <c r="O51" s="86">
        <f>C72</f>
        <v>6292.1040000000003</v>
      </c>
      <c r="P51" s="87">
        <f>D72</f>
        <v>853.57999999999993</v>
      </c>
      <c r="IN51" s="1"/>
    </row>
    <row r="52" spans="1:248" x14ac:dyDescent="0.25">
      <c r="A52" s="16" t="s">
        <v>44</v>
      </c>
      <c r="B52" s="62">
        <v>11500</v>
      </c>
      <c r="C52" s="58">
        <v>0</v>
      </c>
      <c r="D52" s="59">
        <v>0</v>
      </c>
      <c r="E52" s="62">
        <v>11097</v>
      </c>
      <c r="F52" s="82">
        <v>0</v>
      </c>
      <c r="G52" s="59">
        <v>0</v>
      </c>
      <c r="I52" s="426" t="s">
        <v>8</v>
      </c>
      <c r="J52" s="426"/>
      <c r="K52" s="86">
        <f t="shared" ref="K52:P52" si="11">K50+K51</f>
        <v>52688.243999999999</v>
      </c>
      <c r="L52" s="87">
        <f t="shared" si="11"/>
        <v>7147.63</v>
      </c>
      <c r="M52" s="87">
        <f t="shared" si="11"/>
        <v>33099.65</v>
      </c>
      <c r="N52" s="87">
        <f t="shared" si="11"/>
        <v>2020.98</v>
      </c>
      <c r="O52" s="87">
        <f t="shared" si="11"/>
        <v>48611.44158192</v>
      </c>
      <c r="P52" s="87">
        <f t="shared" si="11"/>
        <v>6594.5754084</v>
      </c>
      <c r="IN52" s="1"/>
    </row>
    <row r="53" spans="1:248" x14ac:dyDescent="0.25">
      <c r="A53" s="16" t="s">
        <v>45</v>
      </c>
      <c r="B53" s="62">
        <v>0</v>
      </c>
      <c r="C53" s="58">
        <v>0</v>
      </c>
      <c r="D53" s="59">
        <v>0</v>
      </c>
      <c r="E53" s="62">
        <v>0</v>
      </c>
      <c r="F53" s="82">
        <v>0</v>
      </c>
      <c r="G53" s="59">
        <v>0</v>
      </c>
      <c r="K53" s="1"/>
      <c r="L53" s="3"/>
      <c r="IN53" s="1"/>
    </row>
    <row r="54" spans="1:248" x14ac:dyDescent="0.25">
      <c r="A54" s="16" t="s">
        <v>46</v>
      </c>
      <c r="B54" s="62">
        <v>711</v>
      </c>
      <c r="C54" s="58">
        <v>0</v>
      </c>
      <c r="D54" s="59">
        <v>0</v>
      </c>
      <c r="E54" s="62">
        <v>710.99</v>
      </c>
      <c r="F54" s="82">
        <v>0</v>
      </c>
      <c r="G54" s="59">
        <v>0</v>
      </c>
      <c r="K54" s="1"/>
      <c r="L54" s="3"/>
      <c r="IN54" s="1"/>
    </row>
    <row r="55" spans="1:248" x14ac:dyDescent="0.25">
      <c r="A55" s="16" t="s">
        <v>47</v>
      </c>
      <c r="B55" s="62">
        <v>4400</v>
      </c>
      <c r="C55" s="58">
        <v>0</v>
      </c>
      <c r="D55" s="59">
        <v>0</v>
      </c>
      <c r="E55" s="62">
        <v>4397.71</v>
      </c>
      <c r="F55" s="82">
        <v>0</v>
      </c>
      <c r="G55" s="59">
        <v>0</v>
      </c>
      <c r="K55" s="1"/>
      <c r="L55" s="3"/>
      <c r="IN55" s="1"/>
    </row>
    <row r="56" spans="1:248" x14ac:dyDescent="0.25">
      <c r="A56" s="16" t="s">
        <v>48</v>
      </c>
      <c r="B56" s="62">
        <v>4050</v>
      </c>
      <c r="C56" s="58">
        <f>B56*0.1806</f>
        <v>731.43000000000006</v>
      </c>
      <c r="D56" s="59">
        <f>B56*0.0245</f>
        <v>99.225000000000009</v>
      </c>
      <c r="E56" s="62">
        <v>4049</v>
      </c>
      <c r="F56" s="82">
        <v>0</v>
      </c>
      <c r="G56" s="59">
        <v>0</v>
      </c>
      <c r="K56" s="1"/>
      <c r="L56" s="3"/>
      <c r="IN56" s="1"/>
    </row>
    <row r="57" spans="1:248" x14ac:dyDescent="0.25">
      <c r="A57" s="88"/>
      <c r="B57" s="62"/>
      <c r="C57" s="58"/>
      <c r="D57" s="59"/>
      <c r="E57" s="62"/>
      <c r="F57" s="82">
        <v>0</v>
      </c>
      <c r="G57" s="59">
        <v>0</v>
      </c>
      <c r="K57" s="1"/>
      <c r="L57" s="3"/>
      <c r="IN57" s="1"/>
    </row>
    <row r="58" spans="1:248" x14ac:dyDescent="0.25">
      <c r="A58" s="89" t="s">
        <v>8</v>
      </c>
      <c r="B58" s="90">
        <f t="shared" ref="B58:G58" si="12">SUM(B48:B57)</f>
        <v>54281</v>
      </c>
      <c r="C58" s="91">
        <f t="shared" si="12"/>
        <v>6803.2020000000002</v>
      </c>
      <c r="D58" s="92">
        <f t="shared" si="12"/>
        <v>922.91500000000008</v>
      </c>
      <c r="E58" s="90">
        <f t="shared" si="12"/>
        <v>42919.1</v>
      </c>
      <c r="F58" s="91">
        <f t="shared" si="12"/>
        <v>520.11</v>
      </c>
      <c r="G58" s="92">
        <f t="shared" si="12"/>
        <v>0</v>
      </c>
      <c r="K58" s="1"/>
      <c r="L58" s="3"/>
      <c r="IN58" s="1"/>
    </row>
    <row r="59" spans="1:248" x14ac:dyDescent="0.25">
      <c r="A59"/>
      <c r="B59"/>
      <c r="C59"/>
      <c r="D59"/>
      <c r="E59"/>
    </row>
    <row r="60" spans="1:248" x14ac:dyDescent="0.25">
      <c r="A60" s="420" t="s">
        <v>24</v>
      </c>
      <c r="B60" s="420"/>
      <c r="C60" s="420"/>
      <c r="D60" s="420"/>
      <c r="E60" s="420"/>
    </row>
    <row r="61" spans="1:248" x14ac:dyDescent="0.25">
      <c r="A61" s="7" t="s">
        <v>1</v>
      </c>
      <c r="B61" s="45" t="s">
        <v>49</v>
      </c>
      <c r="C61" s="93" t="s">
        <v>9</v>
      </c>
      <c r="D61" s="94" t="s">
        <v>34</v>
      </c>
      <c r="E61" s="93" t="s">
        <v>50</v>
      </c>
    </row>
    <row r="62" spans="1:248" x14ac:dyDescent="0.25">
      <c r="A62" s="16" t="s">
        <v>35</v>
      </c>
      <c r="B62" s="36">
        <f>320*12</f>
        <v>3840</v>
      </c>
      <c r="C62" s="19">
        <f>B62*0.1806</f>
        <v>693.50400000000002</v>
      </c>
      <c r="D62" s="19">
        <f>B62*0.0245</f>
        <v>94.08</v>
      </c>
      <c r="E62" s="95"/>
      <c r="I62"/>
    </row>
    <row r="63" spans="1:248" x14ac:dyDescent="0.25">
      <c r="A63" s="16" t="s">
        <v>39</v>
      </c>
      <c r="B63" s="36">
        <f>1250*12</f>
        <v>15000</v>
      </c>
      <c r="C63" s="19">
        <f>B63*0.1806</f>
        <v>2709</v>
      </c>
      <c r="D63" s="19">
        <f>B63*0.0245</f>
        <v>367.5</v>
      </c>
      <c r="E63" s="95"/>
      <c r="I63"/>
    </row>
    <row r="64" spans="1:248" x14ac:dyDescent="0.25">
      <c r="A64" s="16" t="s">
        <v>40</v>
      </c>
      <c r="B64" s="36"/>
      <c r="C64" s="19">
        <f>B64*0.1806</f>
        <v>0</v>
      </c>
      <c r="D64" s="19">
        <f>B64*0.0245</f>
        <v>0</v>
      </c>
      <c r="E64" s="95"/>
      <c r="I64"/>
    </row>
    <row r="65" spans="1:247" x14ac:dyDescent="0.25">
      <c r="A65" s="16" t="s">
        <v>42</v>
      </c>
      <c r="B65" s="36">
        <f>1250*12</f>
        <v>15000</v>
      </c>
      <c r="C65" s="19">
        <f>B65*0.1806</f>
        <v>2709</v>
      </c>
      <c r="D65" s="19">
        <f>B65*0.0245</f>
        <v>367.5</v>
      </c>
      <c r="E65" s="95"/>
      <c r="I65"/>
    </row>
    <row r="66" spans="1:247" x14ac:dyDescent="0.25">
      <c r="A66" s="16" t="s">
        <v>44</v>
      </c>
      <c r="B66" s="36">
        <v>11500</v>
      </c>
      <c r="C66" s="19">
        <v>0</v>
      </c>
      <c r="D66" s="19">
        <v>0</v>
      </c>
      <c r="E66" s="95"/>
      <c r="I66"/>
    </row>
    <row r="67" spans="1:247" x14ac:dyDescent="0.25">
      <c r="A67" s="16" t="s">
        <v>45</v>
      </c>
      <c r="B67" s="36">
        <v>1000</v>
      </c>
      <c r="C67" s="19">
        <v>0</v>
      </c>
      <c r="D67" s="19">
        <v>0</v>
      </c>
      <c r="E67" s="95"/>
      <c r="I67"/>
    </row>
    <row r="68" spans="1:247" x14ac:dyDescent="0.25">
      <c r="A68" s="16" t="s">
        <v>46</v>
      </c>
      <c r="B68" s="36">
        <v>1000</v>
      </c>
      <c r="C68" s="19">
        <v>0</v>
      </c>
      <c r="D68" s="19">
        <v>0</v>
      </c>
      <c r="E68" s="95"/>
      <c r="I68"/>
    </row>
    <row r="69" spans="1:247" x14ac:dyDescent="0.25">
      <c r="A69" s="16" t="s">
        <v>47</v>
      </c>
      <c r="B69" s="36">
        <v>4500</v>
      </c>
      <c r="C69" s="19">
        <v>0</v>
      </c>
      <c r="D69" s="19">
        <v>0</v>
      </c>
      <c r="E69" s="95"/>
      <c r="H69" s="3"/>
      <c r="K69" s="1"/>
      <c r="IK69" s="4"/>
      <c r="IL69" s="4"/>
      <c r="IM69" s="4"/>
    </row>
    <row r="70" spans="1:247" x14ac:dyDescent="0.25">
      <c r="A70" s="16" t="s">
        <v>48</v>
      </c>
      <c r="B70" s="36">
        <v>1000</v>
      </c>
      <c r="C70" s="19">
        <f>B70*0.1806</f>
        <v>180.60000000000002</v>
      </c>
      <c r="D70" s="19">
        <f>B70*0.0245</f>
        <v>24.5</v>
      </c>
      <c r="E70" s="95"/>
      <c r="H70" s="3"/>
      <c r="K70" s="1"/>
      <c r="IK70" s="4"/>
      <c r="IL70" s="4"/>
      <c r="IM70" s="4"/>
    </row>
    <row r="71" spans="1:247" x14ac:dyDescent="0.25">
      <c r="A71" s="88"/>
      <c r="B71" s="87"/>
      <c r="C71" s="21">
        <f>B71*0.1806</f>
        <v>0</v>
      </c>
      <c r="D71" s="21">
        <f>B71*0.0245</f>
        <v>0</v>
      </c>
      <c r="E71" s="96"/>
      <c r="H71" s="3"/>
      <c r="K71" s="1"/>
      <c r="IK71" s="4"/>
      <c r="IL71" s="4"/>
      <c r="IM71" s="4"/>
    </row>
    <row r="72" spans="1:247" x14ac:dyDescent="0.25">
      <c r="A72" s="89" t="s">
        <v>8</v>
      </c>
      <c r="B72" s="97">
        <f>SUM(B62:B71)</f>
        <v>52840</v>
      </c>
      <c r="C72" s="97">
        <f>SUM(C62:C71)</f>
        <v>6292.1040000000003</v>
      </c>
      <c r="D72" s="97">
        <f>SUM(D62:D71)</f>
        <v>853.57999999999993</v>
      </c>
      <c r="E72" s="97">
        <f>SUM(E62:E71)</f>
        <v>0</v>
      </c>
      <c r="H72" s="3"/>
      <c r="K72" s="1"/>
      <c r="IK72" s="4"/>
      <c r="IL72" s="4"/>
      <c r="IM72" s="4"/>
    </row>
    <row r="73" spans="1:247" x14ac:dyDescent="0.25">
      <c r="H73" s="3"/>
      <c r="K73" s="1"/>
      <c r="IK73" s="4"/>
      <c r="IL73" s="4"/>
      <c r="IM73" s="4"/>
    </row>
    <row r="74" spans="1:247" x14ac:dyDescent="0.25">
      <c r="H74" s="3"/>
      <c r="K74" s="1"/>
      <c r="IK74" s="4"/>
      <c r="IL74" s="4"/>
      <c r="IM74" s="4"/>
    </row>
    <row r="75" spans="1:247" x14ac:dyDescent="0.25">
      <c r="H75" s="3"/>
      <c r="K75" s="1"/>
      <c r="IK75" s="4"/>
      <c r="IL75" s="4"/>
      <c r="IM75" s="4"/>
    </row>
  </sheetData>
  <sheetProtection selectLockedCells="1" selectUnlockedCells="1"/>
  <mergeCells count="22">
    <mergeCell ref="I51:J51"/>
    <mergeCell ref="I52:J52"/>
    <mergeCell ref="A60:E60"/>
    <mergeCell ref="I47:P47"/>
    <mergeCell ref="I48:J49"/>
    <mergeCell ref="K48:L48"/>
    <mergeCell ref="M48:N48"/>
    <mergeCell ref="O48:P48"/>
    <mergeCell ref="I50:J50"/>
    <mergeCell ref="B46:D46"/>
    <mergeCell ref="E46:G46"/>
    <mergeCell ref="A1:J1"/>
    <mergeCell ref="B15:J15"/>
    <mergeCell ref="K15:S15"/>
    <mergeCell ref="B27:F27"/>
    <mergeCell ref="G27:H27"/>
    <mergeCell ref="A29:M29"/>
    <mergeCell ref="B30:D30"/>
    <mergeCell ref="E30:K30"/>
    <mergeCell ref="L30:M30"/>
    <mergeCell ref="B43:D43"/>
    <mergeCell ref="B44:D44"/>
  </mergeCells>
  <printOptions horizontalCentered="1" verticalCentered="1"/>
  <pageMargins left="0.78749999999999998" right="0.78749999999999998" top="0.95416666666666661" bottom="0.78749999999999998" header="0.78749999999999998" footer="0.51180555555555551"/>
  <pageSetup paperSize="9" firstPageNumber="0" fitToWidth="3" orientation="portrait" horizontalDpi="300" verticalDpi="300"/>
  <headerFooter alignWithMargins="0">
    <oddHeader>&amp;C&amp;"Times New Roman,Normalny"&amp;12&amp;A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zoomScale="75" zoomScaleNormal="75" zoomScaleSheetLayoutView="78" workbookViewId="0">
      <selection activeCell="G18" sqref="G18"/>
    </sheetView>
  </sheetViews>
  <sheetFormatPr defaultColWidth="11.5703125" defaultRowHeight="18" x14ac:dyDescent="0.25"/>
  <cols>
    <col min="1" max="1" width="17.5703125" style="98" customWidth="1"/>
    <col min="2" max="2" width="16.140625" style="98" customWidth="1"/>
    <col min="3" max="3" width="50" style="98" customWidth="1"/>
    <col min="4" max="5" width="20" style="99" customWidth="1"/>
    <col min="6" max="6" width="21" style="100" customWidth="1"/>
    <col min="7" max="7" width="17.7109375" style="101" customWidth="1"/>
    <col min="8" max="16384" width="11.5703125" style="98"/>
  </cols>
  <sheetData>
    <row r="1" spans="1:6" x14ac:dyDescent="0.25">
      <c r="C1" s="102"/>
      <c r="D1" s="103"/>
      <c r="E1" s="103"/>
    </row>
    <row r="2" spans="1:6" ht="6" customHeight="1" x14ac:dyDescent="0.25">
      <c r="C2" s="102"/>
      <c r="D2" s="103"/>
      <c r="E2" s="103"/>
    </row>
    <row r="3" spans="1:6" s="98" customFormat="1" ht="45" customHeight="1" x14ac:dyDescent="0.25">
      <c r="A3" s="429" t="s">
        <v>234</v>
      </c>
      <c r="B3" s="429"/>
      <c r="C3" s="429"/>
      <c r="D3" s="429"/>
      <c r="E3" s="429"/>
      <c r="F3" s="429"/>
    </row>
    <row r="4" spans="1:6" s="98" customFormat="1" ht="45" customHeight="1" x14ac:dyDescent="0.25">
      <c r="A4" s="104" t="s">
        <v>51</v>
      </c>
      <c r="B4" s="105" t="s">
        <v>52</v>
      </c>
      <c r="C4" s="106" t="s">
        <v>53</v>
      </c>
      <c r="D4" s="106" t="s">
        <v>54</v>
      </c>
      <c r="E4" s="107" t="s">
        <v>55</v>
      </c>
      <c r="F4" s="108" t="s">
        <v>56</v>
      </c>
    </row>
    <row r="5" spans="1:6" s="98" customFormat="1" x14ac:dyDescent="0.25">
      <c r="A5" s="430" t="s">
        <v>57</v>
      </c>
      <c r="B5" s="430"/>
      <c r="C5" s="430"/>
      <c r="D5" s="109">
        <f>D6+D14</f>
        <v>696016</v>
      </c>
      <c r="E5" s="109">
        <f>E6+E14</f>
        <v>27967.540000000019</v>
      </c>
      <c r="F5" s="110">
        <f>F6+F14</f>
        <v>668048.46</v>
      </c>
    </row>
    <row r="6" spans="1:6" s="98" customFormat="1" x14ac:dyDescent="0.25">
      <c r="A6" s="111"/>
      <c r="B6" s="112"/>
      <c r="C6" s="113" t="s">
        <v>58</v>
      </c>
      <c r="D6" s="114">
        <f>SUM(D7:D12)</f>
        <v>34016</v>
      </c>
      <c r="E6" s="115">
        <f>SUM(E7:E12)</f>
        <v>3.0199999999999783</v>
      </c>
      <c r="F6" s="116">
        <f>SUM(F7:F12)</f>
        <v>34012.979999999996</v>
      </c>
    </row>
    <row r="7" spans="1:6" s="98" customFormat="1" x14ac:dyDescent="0.25">
      <c r="A7" s="431">
        <v>710</v>
      </c>
      <c r="B7" s="118" t="s">
        <v>59</v>
      </c>
      <c r="C7" s="119" t="s">
        <v>60</v>
      </c>
      <c r="D7" s="120">
        <v>18880</v>
      </c>
      <c r="E7" s="120">
        <f t="shared" ref="E7:E12" si="0">D7-F7</f>
        <v>0.5</v>
      </c>
      <c r="F7" s="121">
        <v>18879.5</v>
      </c>
    </row>
    <row r="8" spans="1:6" s="98" customFormat="1" x14ac:dyDescent="0.25">
      <c r="A8" s="431"/>
      <c r="B8" s="122" t="s">
        <v>61</v>
      </c>
      <c r="C8" s="123" t="s">
        <v>62</v>
      </c>
      <c r="D8" s="124">
        <v>299</v>
      </c>
      <c r="E8" s="124">
        <f t="shared" si="0"/>
        <v>0.39999999999997726</v>
      </c>
      <c r="F8" s="125">
        <v>298.60000000000002</v>
      </c>
    </row>
    <row r="9" spans="1:6" s="98" customFormat="1" x14ac:dyDescent="0.25">
      <c r="A9" s="431"/>
      <c r="B9" s="126" t="s">
        <v>63</v>
      </c>
      <c r="C9" s="127" t="s">
        <v>64</v>
      </c>
      <c r="D9" s="128">
        <v>300</v>
      </c>
      <c r="E9" s="124">
        <f t="shared" si="0"/>
        <v>0</v>
      </c>
      <c r="F9" s="129">
        <v>300</v>
      </c>
    </row>
    <row r="10" spans="1:6" s="98" customFormat="1" x14ac:dyDescent="0.25">
      <c r="A10" s="117">
        <v>750</v>
      </c>
      <c r="B10" s="130" t="s">
        <v>65</v>
      </c>
      <c r="C10" s="130" t="s">
        <v>66</v>
      </c>
      <c r="D10" s="131">
        <v>1254</v>
      </c>
      <c r="E10" s="132">
        <f t="shared" si="0"/>
        <v>0.5</v>
      </c>
      <c r="F10" s="133">
        <v>1253.5</v>
      </c>
    </row>
    <row r="11" spans="1:6" s="98" customFormat="1" x14ac:dyDescent="0.25">
      <c r="A11" s="432">
        <v>760</v>
      </c>
      <c r="B11" s="119" t="s">
        <v>67</v>
      </c>
      <c r="C11" s="119" t="s">
        <v>68</v>
      </c>
      <c r="D11" s="120">
        <v>13266</v>
      </c>
      <c r="E11" s="134">
        <f t="shared" si="0"/>
        <v>0.75</v>
      </c>
      <c r="F11" s="135">
        <v>13265.25</v>
      </c>
    </row>
    <row r="12" spans="1:6" s="98" customFormat="1" x14ac:dyDescent="0.25">
      <c r="A12" s="432"/>
      <c r="B12" s="136" t="s">
        <v>69</v>
      </c>
      <c r="C12" s="136" t="s">
        <v>70</v>
      </c>
      <c r="D12" s="137">
        <v>17</v>
      </c>
      <c r="E12" s="138">
        <f t="shared" si="0"/>
        <v>0.87000000000000099</v>
      </c>
      <c r="F12" s="139">
        <v>16.13</v>
      </c>
    </row>
    <row r="13" spans="1:6" s="98" customFormat="1" ht="2.65" customHeight="1" x14ac:dyDescent="0.25">
      <c r="A13" s="140"/>
      <c r="B13" s="140"/>
      <c r="C13" s="140" t="s">
        <v>71</v>
      </c>
      <c r="D13" s="141"/>
      <c r="E13" s="141"/>
      <c r="F13" s="142"/>
    </row>
    <row r="14" spans="1:6" s="98" customFormat="1" x14ac:dyDescent="0.25">
      <c r="A14" s="433">
        <v>740</v>
      </c>
      <c r="B14" s="143"/>
      <c r="C14" s="144" t="s">
        <v>72</v>
      </c>
      <c r="D14" s="145">
        <f>SUM(D15:D16)</f>
        <v>662000</v>
      </c>
      <c r="E14" s="145">
        <f>SUM(E15:E16)</f>
        <v>27964.520000000019</v>
      </c>
      <c r="F14" s="146">
        <f>SUM(F15:F16)</f>
        <v>634035.48</v>
      </c>
    </row>
    <row r="15" spans="1:6" s="98" customFormat="1" x14ac:dyDescent="0.25">
      <c r="A15" s="433"/>
      <c r="B15" s="123" t="s">
        <v>73</v>
      </c>
      <c r="C15" s="123" t="s">
        <v>74</v>
      </c>
      <c r="D15" s="124">
        <v>662000</v>
      </c>
      <c r="E15" s="147">
        <f>D15-F15</f>
        <v>27964.520000000019</v>
      </c>
      <c r="F15" s="148">
        <v>634035.48</v>
      </c>
    </row>
    <row r="16" spans="1:6" s="98" customFormat="1" x14ac:dyDescent="0.25">
      <c r="A16" s="433"/>
      <c r="B16" s="123"/>
      <c r="C16" s="123" t="s">
        <v>75</v>
      </c>
      <c r="D16" s="149">
        <v>0</v>
      </c>
      <c r="E16" s="150"/>
      <c r="F16" s="148"/>
    </row>
    <row r="17" spans="1:6" s="98" customFormat="1" x14ac:dyDescent="0.25">
      <c r="A17" s="433"/>
      <c r="B17" s="123"/>
      <c r="C17" s="123"/>
      <c r="D17" s="124"/>
      <c r="E17" s="147"/>
      <c r="F17" s="148"/>
    </row>
    <row r="18" spans="1:6" s="98" customFormat="1" x14ac:dyDescent="0.25">
      <c r="A18" s="433"/>
      <c r="B18" s="123"/>
      <c r="C18" s="123"/>
      <c r="D18" s="124"/>
      <c r="E18" s="147"/>
      <c r="F18" s="148"/>
    </row>
    <row r="19" spans="1:6" s="98" customFormat="1" x14ac:dyDescent="0.25">
      <c r="A19" s="433"/>
      <c r="B19" s="123"/>
      <c r="C19" s="123"/>
      <c r="D19" s="124"/>
      <c r="E19" s="147"/>
      <c r="F19" s="148"/>
    </row>
    <row r="20" spans="1:6" s="98" customFormat="1" x14ac:dyDescent="0.25">
      <c r="A20" s="433"/>
      <c r="B20" s="136"/>
      <c r="C20" s="136"/>
      <c r="D20" s="137"/>
      <c r="E20" s="138"/>
      <c r="F20" s="139"/>
    </row>
  </sheetData>
  <sheetProtection selectLockedCells="1" selectUnlockedCells="1"/>
  <mergeCells count="5">
    <mergeCell ref="A3:F3"/>
    <mergeCell ref="A5:C5"/>
    <mergeCell ref="A7:A9"/>
    <mergeCell ref="A11:A12"/>
    <mergeCell ref="A14:A20"/>
  </mergeCells>
  <printOptions horizontalCentered="1"/>
  <pageMargins left="0.78749999999999998" right="0.78749999999999998" top="0.30069444444444443" bottom="0.15694444444444444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4"/>
  <sheetViews>
    <sheetView tabSelected="1" zoomScale="75" zoomScaleNormal="75" zoomScaleSheetLayoutView="78" workbookViewId="0">
      <selection activeCell="F6" sqref="F6"/>
    </sheetView>
  </sheetViews>
  <sheetFormatPr defaultColWidth="11.5703125" defaultRowHeight="12.75" x14ac:dyDescent="0.2"/>
  <cols>
    <col min="1" max="1" width="17" style="151" customWidth="1"/>
    <col min="2" max="2" width="15" style="152" customWidth="1"/>
    <col min="3" max="3" width="35.28515625" style="153" customWidth="1"/>
    <col min="4" max="4" width="26.5703125" style="151" customWidth="1"/>
    <col min="5" max="5" width="0" style="151" hidden="1" customWidth="1"/>
    <col min="6" max="6" width="29.28515625" style="151" customWidth="1"/>
    <col min="7" max="10" width="0" style="154" hidden="1" customWidth="1"/>
    <col min="11" max="28" width="0" style="151" hidden="1" customWidth="1"/>
    <col min="29" max="29" width="19.7109375" style="155" customWidth="1"/>
    <col min="30" max="16384" width="11.5703125" style="151"/>
  </cols>
  <sheetData>
    <row r="1" spans="1:29" ht="37.5" customHeight="1" thickBot="1" x14ac:dyDescent="0.25">
      <c r="A1" s="435" t="s">
        <v>235</v>
      </c>
      <c r="B1" s="435"/>
      <c r="C1" s="435"/>
      <c r="D1" s="435"/>
      <c r="E1" s="435"/>
      <c r="F1" s="435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</row>
    <row r="2" spans="1:29" s="162" customFormat="1" ht="12.75" customHeight="1" thickBot="1" x14ac:dyDescent="0.25">
      <c r="A2" s="436" t="s">
        <v>76</v>
      </c>
      <c r="B2" s="437" t="s">
        <v>77</v>
      </c>
      <c r="C2" s="438" t="s">
        <v>78</v>
      </c>
      <c r="D2" s="158"/>
      <c r="E2" s="159"/>
      <c r="F2" s="160"/>
      <c r="G2" s="159"/>
      <c r="H2" s="159"/>
      <c r="I2" s="159"/>
      <c r="J2" s="159"/>
      <c r="K2" s="159"/>
      <c r="L2" s="159"/>
      <c r="M2" s="159"/>
      <c r="N2" s="159"/>
      <c r="O2" s="159"/>
      <c r="P2" s="159" t="s">
        <v>79</v>
      </c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60"/>
      <c r="AC2" s="161"/>
    </row>
    <row r="3" spans="1:29" s="162" customFormat="1" ht="12.75" customHeight="1" x14ac:dyDescent="0.2">
      <c r="A3" s="436"/>
      <c r="B3" s="437"/>
      <c r="C3" s="438"/>
      <c r="D3" s="439" t="s">
        <v>8</v>
      </c>
      <c r="E3" s="439"/>
      <c r="F3" s="439"/>
      <c r="G3" s="164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6"/>
      <c r="AC3" s="161"/>
    </row>
    <row r="4" spans="1:29" s="162" customFormat="1" ht="12.75" customHeight="1" x14ac:dyDescent="0.2">
      <c r="A4" s="436"/>
      <c r="B4" s="437"/>
      <c r="C4" s="438"/>
      <c r="D4" s="439"/>
      <c r="E4" s="439"/>
      <c r="F4" s="439"/>
      <c r="G4" s="434" t="s">
        <v>80</v>
      </c>
      <c r="H4" s="434"/>
      <c r="I4" s="444" t="s">
        <v>81</v>
      </c>
      <c r="J4" s="444"/>
      <c r="K4" s="444" t="s">
        <v>82</v>
      </c>
      <c r="L4" s="444"/>
      <c r="M4" s="444"/>
      <c r="N4" s="444"/>
      <c r="O4" s="444"/>
      <c r="P4" s="444"/>
      <c r="Q4" s="444"/>
      <c r="R4" s="444"/>
      <c r="S4" s="445" t="s">
        <v>83</v>
      </c>
      <c r="T4" s="445"/>
      <c r="U4" s="445"/>
      <c r="V4" s="445"/>
      <c r="W4" s="445"/>
      <c r="X4" s="445"/>
      <c r="Y4" s="445"/>
      <c r="Z4" s="445"/>
      <c r="AA4" s="445"/>
      <c r="AB4" s="445"/>
      <c r="AC4" s="161"/>
    </row>
    <row r="5" spans="1:29" s="168" customFormat="1" ht="12.75" customHeight="1" x14ac:dyDescent="0.2">
      <c r="A5" s="436"/>
      <c r="B5" s="437"/>
      <c r="C5" s="438"/>
      <c r="D5" s="439"/>
      <c r="E5" s="439"/>
      <c r="F5" s="439"/>
      <c r="G5" s="434"/>
      <c r="H5" s="434"/>
      <c r="I5" s="444"/>
      <c r="J5" s="444"/>
      <c r="K5" s="440" t="s">
        <v>84</v>
      </c>
      <c r="L5" s="440"/>
      <c r="M5" s="440" t="s">
        <v>85</v>
      </c>
      <c r="N5" s="440"/>
      <c r="O5" s="440" t="s">
        <v>86</v>
      </c>
      <c r="P5" s="440"/>
      <c r="Q5" s="440" t="s">
        <v>87</v>
      </c>
      <c r="R5" s="440"/>
      <c r="S5" s="440" t="s">
        <v>88</v>
      </c>
      <c r="T5" s="440"/>
      <c r="U5" s="440" t="s">
        <v>89</v>
      </c>
      <c r="V5" s="440"/>
      <c r="W5" s="440" t="s">
        <v>90</v>
      </c>
      <c r="X5" s="440"/>
      <c r="Y5" s="440" t="s">
        <v>91</v>
      </c>
      <c r="Z5" s="440"/>
      <c r="AA5" s="440" t="s">
        <v>92</v>
      </c>
      <c r="AB5" s="440"/>
      <c r="AC5" s="167"/>
    </row>
    <row r="6" spans="1:29" s="168" customFormat="1" ht="48" customHeight="1" x14ac:dyDescent="0.2">
      <c r="A6" s="436"/>
      <c r="B6" s="437"/>
      <c r="C6" s="438"/>
      <c r="D6" s="169" t="s">
        <v>93</v>
      </c>
      <c r="E6" s="170" t="s">
        <v>94</v>
      </c>
      <c r="F6" s="171" t="s">
        <v>95</v>
      </c>
      <c r="G6" s="172" t="s">
        <v>93</v>
      </c>
      <c r="H6" s="173" t="s">
        <v>96</v>
      </c>
      <c r="I6" s="174" t="s">
        <v>93</v>
      </c>
      <c r="J6" s="173" t="s">
        <v>96</v>
      </c>
      <c r="K6" s="174" t="s">
        <v>93</v>
      </c>
      <c r="L6" s="173" t="s">
        <v>96</v>
      </c>
      <c r="M6" s="174" t="s">
        <v>93</v>
      </c>
      <c r="N6" s="173" t="s">
        <v>96</v>
      </c>
      <c r="O6" s="174" t="s">
        <v>93</v>
      </c>
      <c r="P6" s="173" t="s">
        <v>96</v>
      </c>
      <c r="Q6" s="174" t="s">
        <v>93</v>
      </c>
      <c r="R6" s="173" t="s">
        <v>96</v>
      </c>
      <c r="S6" s="174" t="s">
        <v>93</v>
      </c>
      <c r="T6" s="173" t="s">
        <v>96</v>
      </c>
      <c r="U6" s="174" t="s">
        <v>93</v>
      </c>
      <c r="V6" s="173" t="s">
        <v>96</v>
      </c>
      <c r="W6" s="174" t="s">
        <v>93</v>
      </c>
      <c r="X6" s="173" t="s">
        <v>96</v>
      </c>
      <c r="Y6" s="174" t="s">
        <v>93</v>
      </c>
      <c r="Z6" s="173" t="s">
        <v>96</v>
      </c>
      <c r="AA6" s="174" t="s">
        <v>93</v>
      </c>
      <c r="AB6" s="173" t="s">
        <v>96</v>
      </c>
      <c r="AC6" s="167"/>
    </row>
    <row r="7" spans="1:29" ht="12.75" customHeight="1" x14ac:dyDescent="0.2">
      <c r="A7" s="441">
        <v>400</v>
      </c>
      <c r="B7" s="442" t="s">
        <v>97</v>
      </c>
      <c r="C7" s="442"/>
      <c r="D7" s="175">
        <f t="shared" ref="D7:D28" si="0">G7+I7+K7+M7+O7+Q7+S7+U7+W7+Y7+AA7</f>
        <v>82516</v>
      </c>
      <c r="E7" s="176">
        <f t="shared" ref="E7:E28" si="1">D7-F7</f>
        <v>0.93999999998777639</v>
      </c>
      <c r="F7" s="177">
        <f t="shared" ref="F7:F28" si="2">H7+J7+L7+N7+P7+R7+T7+V7+X7+Z7+AB7</f>
        <v>82515.060000000012</v>
      </c>
      <c r="G7" s="178">
        <f t="shared" ref="G7:AB7" si="3">SUM(G8:G12)</f>
        <v>73876</v>
      </c>
      <c r="H7" s="178">
        <f t="shared" si="3"/>
        <v>73875.650000000009</v>
      </c>
      <c r="I7" s="179">
        <f t="shared" si="3"/>
        <v>4640</v>
      </c>
      <c r="J7" s="178">
        <f t="shared" si="3"/>
        <v>4639.41</v>
      </c>
      <c r="K7" s="179">
        <f t="shared" si="3"/>
        <v>0</v>
      </c>
      <c r="L7" s="178">
        <f t="shared" si="3"/>
        <v>0</v>
      </c>
      <c r="M7" s="179">
        <f t="shared" si="3"/>
        <v>0</v>
      </c>
      <c r="N7" s="178">
        <f t="shared" si="3"/>
        <v>0</v>
      </c>
      <c r="O7" s="179">
        <f t="shared" si="3"/>
        <v>0</v>
      </c>
      <c r="P7" s="178">
        <f t="shared" si="3"/>
        <v>0</v>
      </c>
      <c r="Q7" s="179">
        <f t="shared" si="3"/>
        <v>0</v>
      </c>
      <c r="R7" s="178">
        <f t="shared" si="3"/>
        <v>0</v>
      </c>
      <c r="S7" s="179">
        <f t="shared" si="3"/>
        <v>0</v>
      </c>
      <c r="T7" s="178">
        <f t="shared" si="3"/>
        <v>0</v>
      </c>
      <c r="U7" s="179">
        <f t="shared" si="3"/>
        <v>4000</v>
      </c>
      <c r="V7" s="178">
        <f t="shared" si="3"/>
        <v>4000</v>
      </c>
      <c r="W7" s="179">
        <f t="shared" si="3"/>
        <v>0</v>
      </c>
      <c r="X7" s="178">
        <f t="shared" si="3"/>
        <v>0</v>
      </c>
      <c r="Y7" s="179">
        <f t="shared" si="3"/>
        <v>0</v>
      </c>
      <c r="Z7" s="178">
        <f t="shared" si="3"/>
        <v>0</v>
      </c>
      <c r="AA7" s="179">
        <f t="shared" si="3"/>
        <v>0</v>
      </c>
      <c r="AB7" s="178">
        <f t="shared" si="3"/>
        <v>0</v>
      </c>
    </row>
    <row r="8" spans="1:29" x14ac:dyDescent="0.2">
      <c r="A8" s="441"/>
      <c r="B8" s="180" t="s">
        <v>98</v>
      </c>
      <c r="C8" s="181" t="s">
        <v>99</v>
      </c>
      <c r="D8" s="182">
        <f t="shared" si="0"/>
        <v>0</v>
      </c>
      <c r="E8" s="183">
        <f t="shared" si="1"/>
        <v>0</v>
      </c>
      <c r="F8" s="184">
        <f t="shared" si="2"/>
        <v>0</v>
      </c>
      <c r="G8" s="185"/>
      <c r="H8" s="186"/>
      <c r="I8" s="187"/>
      <c r="J8" s="186"/>
      <c r="K8" s="187"/>
      <c r="L8" s="186"/>
      <c r="M8" s="187"/>
      <c r="N8" s="186"/>
      <c r="O8" s="187"/>
      <c r="P8" s="186"/>
      <c r="Q8" s="187"/>
      <c r="R8" s="186"/>
      <c r="S8" s="187"/>
      <c r="T8" s="186"/>
      <c r="U8" s="187"/>
      <c r="V8" s="186"/>
      <c r="W8" s="187"/>
      <c r="X8" s="186"/>
      <c r="Y8" s="187"/>
      <c r="Z8" s="186"/>
      <c r="AA8" s="187"/>
      <c r="AB8" s="186"/>
    </row>
    <row r="9" spans="1:29" x14ac:dyDescent="0.2">
      <c r="A9" s="441"/>
      <c r="B9" s="180" t="s">
        <v>100</v>
      </c>
      <c r="C9" s="181" t="s">
        <v>101</v>
      </c>
      <c r="D9" s="182">
        <f t="shared" si="0"/>
        <v>2919</v>
      </c>
      <c r="E9" s="183">
        <f t="shared" si="1"/>
        <v>1.0000000000218279E-2</v>
      </c>
      <c r="F9" s="184">
        <f t="shared" si="2"/>
        <v>2918.99</v>
      </c>
      <c r="G9" s="185">
        <v>2919</v>
      </c>
      <c r="H9" s="186">
        <v>2918.99</v>
      </c>
      <c r="I9" s="187"/>
      <c r="J9" s="186"/>
      <c r="K9" s="187"/>
      <c r="L9" s="186"/>
      <c r="M9" s="187"/>
      <c r="N9" s="186"/>
      <c r="O9" s="187"/>
      <c r="P9" s="186"/>
      <c r="Q9" s="187"/>
      <c r="R9" s="186"/>
      <c r="S9" s="187"/>
      <c r="T9" s="186"/>
      <c r="U9" s="187"/>
      <c r="V9" s="186"/>
      <c r="W9" s="187"/>
      <c r="X9" s="186"/>
      <c r="Y9" s="187"/>
      <c r="Z9" s="186"/>
      <c r="AA9" s="187"/>
      <c r="AB9" s="186"/>
    </row>
    <row r="10" spans="1:29" x14ac:dyDescent="0.2">
      <c r="A10" s="441"/>
      <c r="B10" s="180" t="s">
        <v>102</v>
      </c>
      <c r="C10" s="181" t="s">
        <v>103</v>
      </c>
      <c r="D10" s="182">
        <f t="shared" si="0"/>
        <v>79597</v>
      </c>
      <c r="E10" s="183">
        <f t="shared" si="1"/>
        <v>0.92999999999301508</v>
      </c>
      <c r="F10" s="184">
        <f t="shared" si="2"/>
        <v>79596.070000000007</v>
      </c>
      <c r="G10" s="185">
        <v>70957</v>
      </c>
      <c r="H10" s="186">
        <v>70956.66</v>
      </c>
      <c r="I10" s="187">
        <v>4640</v>
      </c>
      <c r="J10" s="186">
        <v>4639.41</v>
      </c>
      <c r="K10" s="187"/>
      <c r="L10" s="188"/>
      <c r="M10" s="187"/>
      <c r="N10" s="188"/>
      <c r="O10" s="187"/>
      <c r="P10" s="188"/>
      <c r="Q10" s="187"/>
      <c r="R10" s="188"/>
      <c r="S10" s="187"/>
      <c r="T10" s="188"/>
      <c r="U10" s="187">
        <v>4000</v>
      </c>
      <c r="V10" s="189">
        <v>4000</v>
      </c>
      <c r="W10" s="187"/>
      <c r="X10" s="188"/>
      <c r="Y10" s="187"/>
      <c r="Z10" s="188"/>
      <c r="AA10" s="187"/>
      <c r="AB10" s="188"/>
    </row>
    <row r="11" spans="1:29" x14ac:dyDescent="0.2">
      <c r="A11" s="441"/>
      <c r="B11" s="180" t="s">
        <v>104</v>
      </c>
      <c r="C11" s="181" t="s">
        <v>105</v>
      </c>
      <c r="D11" s="182">
        <f t="shared" si="0"/>
        <v>0</v>
      </c>
      <c r="E11" s="183">
        <f t="shared" si="1"/>
        <v>0</v>
      </c>
      <c r="F11" s="184">
        <f t="shared" si="2"/>
        <v>0</v>
      </c>
      <c r="G11" s="185"/>
      <c r="H11" s="186"/>
      <c r="I11" s="187"/>
      <c r="J11" s="186"/>
      <c r="K11" s="187"/>
      <c r="L11" s="186"/>
      <c r="M11" s="187"/>
      <c r="N11" s="186"/>
      <c r="O11" s="187"/>
      <c r="P11" s="186"/>
      <c r="Q11" s="187"/>
      <c r="R11" s="186"/>
      <c r="S11" s="187"/>
      <c r="T11" s="186"/>
      <c r="U11" s="187"/>
      <c r="V11" s="186"/>
      <c r="W11" s="187"/>
      <c r="X11" s="186"/>
      <c r="Y11" s="187"/>
      <c r="Z11" s="186"/>
      <c r="AA11" s="187"/>
      <c r="AB11" s="186"/>
    </row>
    <row r="12" spans="1:29" x14ac:dyDescent="0.2">
      <c r="A12" s="441"/>
      <c r="B12" s="190" t="s">
        <v>106</v>
      </c>
      <c r="C12" s="191" t="s">
        <v>107</v>
      </c>
      <c r="D12" s="192">
        <f t="shared" si="0"/>
        <v>0</v>
      </c>
      <c r="E12" s="193">
        <f t="shared" si="1"/>
        <v>0</v>
      </c>
      <c r="F12" s="194">
        <f t="shared" si="2"/>
        <v>0</v>
      </c>
      <c r="G12" s="195"/>
      <c r="H12" s="196"/>
      <c r="I12" s="197"/>
      <c r="J12" s="196"/>
      <c r="K12" s="197"/>
      <c r="L12" s="196"/>
      <c r="M12" s="197"/>
      <c r="N12" s="196"/>
      <c r="O12" s="197"/>
      <c r="P12" s="196"/>
      <c r="Q12" s="197"/>
      <c r="R12" s="196"/>
      <c r="S12" s="197"/>
      <c r="T12" s="196"/>
      <c r="U12" s="197"/>
      <c r="V12" s="196"/>
      <c r="W12" s="197"/>
      <c r="X12" s="196"/>
      <c r="Y12" s="197"/>
      <c r="Z12" s="196"/>
      <c r="AA12" s="197"/>
      <c r="AB12" s="196"/>
    </row>
    <row r="13" spans="1:29" ht="12.75" customHeight="1" x14ac:dyDescent="0.2">
      <c r="A13" s="441">
        <v>411</v>
      </c>
      <c r="B13" s="443" t="s">
        <v>108</v>
      </c>
      <c r="C13" s="443"/>
      <c r="D13" s="175">
        <f t="shared" si="0"/>
        <v>109286</v>
      </c>
      <c r="E13" s="198">
        <f t="shared" si="1"/>
        <v>769.17999999997846</v>
      </c>
      <c r="F13" s="177">
        <f t="shared" si="2"/>
        <v>108516.82000000002</v>
      </c>
      <c r="G13" s="179">
        <f t="shared" ref="G13:U13" si="4">SUM(G14:G28)</f>
        <v>50365</v>
      </c>
      <c r="H13" s="199">
        <f t="shared" si="4"/>
        <v>50360.31</v>
      </c>
      <c r="I13" s="179">
        <f t="shared" si="4"/>
        <v>29079.07</v>
      </c>
      <c r="J13" s="199">
        <f t="shared" si="4"/>
        <v>28329.040000000001</v>
      </c>
      <c r="K13" s="179">
        <f t="shared" si="4"/>
        <v>7830</v>
      </c>
      <c r="L13" s="199">
        <f t="shared" si="4"/>
        <v>7828.57</v>
      </c>
      <c r="M13" s="179">
        <f t="shared" si="4"/>
        <v>875</v>
      </c>
      <c r="N13" s="199">
        <f t="shared" si="4"/>
        <v>873.96</v>
      </c>
      <c r="O13" s="179">
        <f t="shared" si="4"/>
        <v>2289</v>
      </c>
      <c r="P13" s="199">
        <f t="shared" si="4"/>
        <v>2287.88</v>
      </c>
      <c r="Q13" s="179">
        <f t="shared" si="4"/>
        <v>10949.93</v>
      </c>
      <c r="R13" s="199">
        <f t="shared" si="4"/>
        <v>10948.06</v>
      </c>
      <c r="S13" s="179">
        <f t="shared" si="4"/>
        <v>4911</v>
      </c>
      <c r="T13" s="199">
        <f t="shared" si="4"/>
        <v>4909.3099999999995</v>
      </c>
      <c r="U13" s="179">
        <f t="shared" si="4"/>
        <v>2043</v>
      </c>
      <c r="V13" s="199">
        <f>SUM(V14:V29)</f>
        <v>2035.7499999999998</v>
      </c>
      <c r="W13" s="179">
        <f>SUM(W14:W28)</f>
        <v>138</v>
      </c>
      <c r="X13" s="199">
        <f>SUM(X14:X29)</f>
        <v>137.91</v>
      </c>
      <c r="Y13" s="179">
        <f>SUM(Y14:Y28)</f>
        <v>806</v>
      </c>
      <c r="Z13" s="199">
        <f>SUM(Z14:Z28)</f>
        <v>806.03</v>
      </c>
      <c r="AA13" s="179">
        <f>SUM(AA14:AA28)</f>
        <v>0</v>
      </c>
      <c r="AB13" s="199">
        <f>SUM(AB14:AB28)</f>
        <v>0</v>
      </c>
    </row>
    <row r="14" spans="1:29" x14ac:dyDescent="0.2">
      <c r="A14" s="441"/>
      <c r="B14" s="180" t="s">
        <v>109</v>
      </c>
      <c r="C14" s="181" t="s">
        <v>110</v>
      </c>
      <c r="D14" s="182">
        <f t="shared" si="0"/>
        <v>2475</v>
      </c>
      <c r="E14" s="200">
        <f t="shared" si="1"/>
        <v>1.7899999999999636</v>
      </c>
      <c r="F14" s="201">
        <f t="shared" si="2"/>
        <v>2473.21</v>
      </c>
      <c r="G14" s="187">
        <v>1973</v>
      </c>
      <c r="H14" s="202">
        <v>1972.77</v>
      </c>
      <c r="I14" s="203"/>
      <c r="J14" s="186"/>
      <c r="K14" s="187">
        <v>157</v>
      </c>
      <c r="L14" s="186">
        <v>156.84</v>
      </c>
      <c r="M14" s="187"/>
      <c r="N14" s="186"/>
      <c r="O14" s="187"/>
      <c r="P14" s="186"/>
      <c r="Q14" s="187">
        <v>15</v>
      </c>
      <c r="R14" s="186">
        <v>14.4</v>
      </c>
      <c r="S14" s="187"/>
      <c r="T14" s="186"/>
      <c r="U14" s="187">
        <v>330</v>
      </c>
      <c r="V14" s="186">
        <v>329.2</v>
      </c>
      <c r="W14" s="187"/>
      <c r="X14" s="186"/>
      <c r="Y14" s="187"/>
      <c r="Z14" s="186"/>
      <c r="AA14" s="187"/>
      <c r="AB14" s="186"/>
    </row>
    <row r="15" spans="1:29" x14ac:dyDescent="0.2">
      <c r="A15" s="441"/>
      <c r="B15" s="180" t="s">
        <v>111</v>
      </c>
      <c r="C15" s="181" t="s">
        <v>112</v>
      </c>
      <c r="D15" s="182">
        <f t="shared" si="0"/>
        <v>2147</v>
      </c>
      <c r="E15" s="200">
        <f t="shared" si="1"/>
        <v>0.90000000000009095</v>
      </c>
      <c r="F15" s="201">
        <f t="shared" si="2"/>
        <v>2146.1</v>
      </c>
      <c r="G15" s="187">
        <v>1236</v>
      </c>
      <c r="H15" s="202">
        <v>1235.99</v>
      </c>
      <c r="I15" s="203">
        <v>911</v>
      </c>
      <c r="J15" s="186">
        <v>910.11</v>
      </c>
      <c r="K15" s="187"/>
      <c r="L15" s="186"/>
      <c r="M15" s="187"/>
      <c r="N15" s="186"/>
      <c r="O15" s="187"/>
      <c r="P15" s="186"/>
      <c r="Q15" s="187"/>
      <c r="R15" s="186"/>
      <c r="S15" s="187"/>
      <c r="T15" s="186"/>
      <c r="U15" s="187"/>
      <c r="V15" s="186"/>
      <c r="W15" s="187"/>
      <c r="X15" s="186"/>
      <c r="Y15" s="187"/>
      <c r="Z15" s="186"/>
      <c r="AA15" s="187"/>
      <c r="AB15" s="186"/>
    </row>
    <row r="16" spans="1:29" x14ac:dyDescent="0.2">
      <c r="A16" s="441"/>
      <c r="B16" s="180" t="s">
        <v>113</v>
      </c>
      <c r="C16" s="181" t="s">
        <v>114</v>
      </c>
      <c r="D16" s="182">
        <f t="shared" si="0"/>
        <v>17184</v>
      </c>
      <c r="E16" s="200">
        <f t="shared" si="1"/>
        <v>1.6899999999986903</v>
      </c>
      <c r="F16" s="201">
        <f t="shared" si="2"/>
        <v>17182.310000000001</v>
      </c>
      <c r="G16" s="187">
        <v>16316</v>
      </c>
      <c r="H16" s="202">
        <v>16315.08</v>
      </c>
      <c r="I16" s="203">
        <v>351</v>
      </c>
      <c r="J16" s="186">
        <v>350.96</v>
      </c>
      <c r="K16" s="187"/>
      <c r="L16" s="186"/>
      <c r="M16" s="187"/>
      <c r="N16" s="186"/>
      <c r="O16" s="187"/>
      <c r="P16" s="186"/>
      <c r="Q16" s="187"/>
      <c r="R16" s="186"/>
      <c r="S16" s="187"/>
      <c r="T16" s="186"/>
      <c r="U16" s="187">
        <v>517</v>
      </c>
      <c r="V16" s="186">
        <v>516.27</v>
      </c>
      <c r="W16" s="187"/>
      <c r="X16" s="186"/>
      <c r="Y16" s="187"/>
      <c r="Z16" s="186"/>
      <c r="AA16" s="187"/>
      <c r="AB16" s="186"/>
    </row>
    <row r="17" spans="1:28" x14ac:dyDescent="0.2">
      <c r="A17" s="441"/>
      <c r="B17" s="180" t="s">
        <v>115</v>
      </c>
      <c r="C17" s="181" t="s">
        <v>116</v>
      </c>
      <c r="D17" s="182">
        <f t="shared" si="0"/>
        <v>32704.07</v>
      </c>
      <c r="E17" s="200">
        <f t="shared" si="1"/>
        <v>676.09999999999854</v>
      </c>
      <c r="F17" s="201">
        <f t="shared" si="2"/>
        <v>32027.97</v>
      </c>
      <c r="G17" s="187">
        <v>7009</v>
      </c>
      <c r="H17" s="202">
        <v>7008.36</v>
      </c>
      <c r="I17" s="203">
        <v>25695.07</v>
      </c>
      <c r="J17" s="186">
        <v>25019.61</v>
      </c>
      <c r="K17" s="187"/>
      <c r="L17" s="186"/>
      <c r="M17" s="187"/>
      <c r="N17" s="186"/>
      <c r="O17" s="187"/>
      <c r="P17" s="186"/>
      <c r="Q17" s="187"/>
      <c r="R17" s="186"/>
      <c r="S17" s="187"/>
      <c r="T17" s="186"/>
      <c r="U17" s="187"/>
      <c r="V17" s="186"/>
      <c r="W17" s="187"/>
      <c r="X17" s="186"/>
      <c r="Y17" s="187"/>
      <c r="Z17" s="186"/>
      <c r="AA17" s="187"/>
      <c r="AB17" s="186"/>
    </row>
    <row r="18" spans="1:28" x14ac:dyDescent="0.2">
      <c r="A18" s="441"/>
      <c r="B18" s="180" t="s">
        <v>117</v>
      </c>
      <c r="C18" s="181" t="s">
        <v>118</v>
      </c>
      <c r="D18" s="182">
        <f t="shared" si="0"/>
        <v>862</v>
      </c>
      <c r="E18" s="200">
        <f t="shared" si="1"/>
        <v>0.89999999999997726</v>
      </c>
      <c r="F18" s="201">
        <f t="shared" si="2"/>
        <v>861.1</v>
      </c>
      <c r="G18" s="187">
        <v>862</v>
      </c>
      <c r="H18" s="202">
        <v>861.1</v>
      </c>
      <c r="I18" s="203"/>
      <c r="J18" s="186"/>
      <c r="K18" s="187"/>
      <c r="L18" s="186"/>
      <c r="M18" s="187"/>
      <c r="N18" s="186"/>
      <c r="O18" s="187"/>
      <c r="P18" s="186"/>
      <c r="Q18" s="187"/>
      <c r="R18" s="186"/>
      <c r="S18" s="187"/>
      <c r="T18" s="186"/>
      <c r="U18" s="187"/>
      <c r="V18" s="186"/>
      <c r="W18" s="187"/>
      <c r="X18" s="186"/>
      <c r="Y18" s="187"/>
      <c r="Z18" s="186"/>
      <c r="AA18" s="187"/>
      <c r="AB18" s="186"/>
    </row>
    <row r="19" spans="1:28" x14ac:dyDescent="0.2">
      <c r="A19" s="441"/>
      <c r="B19" s="180" t="s">
        <v>119</v>
      </c>
      <c r="C19" s="181" t="s">
        <v>120</v>
      </c>
      <c r="D19" s="182">
        <f t="shared" si="0"/>
        <v>4495</v>
      </c>
      <c r="E19" s="200">
        <f t="shared" si="1"/>
        <v>1.6799999999993815</v>
      </c>
      <c r="F19" s="201">
        <f t="shared" si="2"/>
        <v>4493.3200000000006</v>
      </c>
      <c r="G19" s="187"/>
      <c r="H19" s="202"/>
      <c r="I19" s="203"/>
      <c r="J19" s="186"/>
      <c r="K19" s="187"/>
      <c r="L19" s="186"/>
      <c r="M19" s="187"/>
      <c r="N19" s="186"/>
      <c r="O19" s="187"/>
      <c r="P19" s="186"/>
      <c r="Q19" s="187"/>
      <c r="R19" s="186"/>
      <c r="S19" s="187">
        <v>3571</v>
      </c>
      <c r="T19" s="186">
        <v>3570.28</v>
      </c>
      <c r="U19" s="187">
        <v>200</v>
      </c>
      <c r="V19" s="186">
        <v>199.13</v>
      </c>
      <c r="W19" s="187"/>
      <c r="X19" s="186"/>
      <c r="Y19" s="187">
        <v>724</v>
      </c>
      <c r="Z19" s="186">
        <v>723.91</v>
      </c>
      <c r="AA19" s="187"/>
      <c r="AB19" s="186"/>
    </row>
    <row r="20" spans="1:28" x14ac:dyDescent="0.2">
      <c r="A20" s="441"/>
      <c r="B20" s="180" t="s">
        <v>121</v>
      </c>
      <c r="C20" s="181" t="s">
        <v>122</v>
      </c>
      <c r="D20" s="182">
        <f t="shared" si="0"/>
        <v>442</v>
      </c>
      <c r="E20" s="200">
        <f t="shared" si="1"/>
        <v>57.980000000000018</v>
      </c>
      <c r="F20" s="201">
        <f t="shared" si="2"/>
        <v>384.02</v>
      </c>
      <c r="G20" s="187">
        <v>42</v>
      </c>
      <c r="H20" s="202">
        <v>42</v>
      </c>
      <c r="I20" s="203">
        <v>400</v>
      </c>
      <c r="J20" s="186">
        <v>342.02</v>
      </c>
      <c r="K20" s="187"/>
      <c r="L20" s="186"/>
      <c r="M20" s="187"/>
      <c r="N20" s="186"/>
      <c r="O20" s="187"/>
      <c r="P20" s="186"/>
      <c r="Q20" s="187"/>
      <c r="R20" s="186"/>
      <c r="S20" s="187"/>
      <c r="T20" s="186"/>
      <c r="U20" s="187"/>
      <c r="V20" s="186"/>
      <c r="W20" s="187"/>
      <c r="X20" s="186"/>
      <c r="Y20" s="187"/>
      <c r="Z20" s="186"/>
      <c r="AA20" s="187"/>
      <c r="AB20" s="186"/>
    </row>
    <row r="21" spans="1:28" x14ac:dyDescent="0.2">
      <c r="A21" s="441"/>
      <c r="B21" s="180" t="s">
        <v>123</v>
      </c>
      <c r="C21" s="181" t="s">
        <v>124</v>
      </c>
      <c r="D21" s="182">
        <f t="shared" si="0"/>
        <v>9127</v>
      </c>
      <c r="E21" s="200">
        <f t="shared" si="1"/>
        <v>2.0999999999985448</v>
      </c>
      <c r="F21" s="201">
        <f t="shared" si="2"/>
        <v>9124.9000000000015</v>
      </c>
      <c r="G21" s="187">
        <v>89</v>
      </c>
      <c r="H21" s="202">
        <v>88.48</v>
      </c>
      <c r="I21" s="203"/>
      <c r="J21" s="186"/>
      <c r="K21" s="187">
        <v>3289</v>
      </c>
      <c r="L21" s="186">
        <v>3288.91</v>
      </c>
      <c r="M21" s="187">
        <v>805</v>
      </c>
      <c r="N21" s="186">
        <v>804.7</v>
      </c>
      <c r="O21" s="187">
        <v>1928</v>
      </c>
      <c r="P21" s="186">
        <v>1927.45</v>
      </c>
      <c r="Q21" s="187">
        <v>2753</v>
      </c>
      <c r="R21" s="186">
        <v>2752.25</v>
      </c>
      <c r="S21" s="187">
        <v>45</v>
      </c>
      <c r="T21" s="186">
        <v>44.97</v>
      </c>
      <c r="U21" s="187">
        <v>82</v>
      </c>
      <c r="V21" s="186">
        <v>82.11</v>
      </c>
      <c r="W21" s="187">
        <v>54</v>
      </c>
      <c r="X21" s="186">
        <v>53.91</v>
      </c>
      <c r="Y21" s="187">
        <v>82</v>
      </c>
      <c r="Z21" s="186">
        <v>82.12</v>
      </c>
      <c r="AA21" s="187"/>
      <c r="AB21" s="186"/>
    </row>
    <row r="22" spans="1:28" x14ac:dyDescent="0.2">
      <c r="A22" s="441"/>
      <c r="B22" s="180" t="s">
        <v>125</v>
      </c>
      <c r="C22" s="181" t="s">
        <v>126</v>
      </c>
      <c r="D22" s="182">
        <f t="shared" si="0"/>
        <v>7458.93</v>
      </c>
      <c r="E22" s="200">
        <f t="shared" si="1"/>
        <v>1.930000000000291</v>
      </c>
      <c r="F22" s="201">
        <f t="shared" si="2"/>
        <v>7457</v>
      </c>
      <c r="G22" s="187">
        <v>80</v>
      </c>
      <c r="H22" s="202">
        <v>80</v>
      </c>
      <c r="I22" s="203"/>
      <c r="J22" s="186"/>
      <c r="K22" s="187">
        <v>3253</v>
      </c>
      <c r="L22" s="186">
        <v>3252.38</v>
      </c>
      <c r="M22" s="187">
        <v>70</v>
      </c>
      <c r="N22" s="186">
        <v>69.260000000000005</v>
      </c>
      <c r="O22" s="187">
        <v>361</v>
      </c>
      <c r="P22" s="186">
        <v>360.43</v>
      </c>
      <c r="Q22" s="187">
        <v>3694.93</v>
      </c>
      <c r="R22" s="186">
        <v>3694.93</v>
      </c>
      <c r="S22" s="187"/>
      <c r="T22" s="186"/>
      <c r="U22" s="187"/>
      <c r="V22" s="186"/>
      <c r="W22" s="187"/>
      <c r="X22" s="186"/>
      <c r="Y22" s="187"/>
      <c r="Z22" s="186"/>
      <c r="AA22" s="187"/>
      <c r="AB22" s="186"/>
    </row>
    <row r="23" spans="1:28" x14ac:dyDescent="0.2">
      <c r="A23" s="441"/>
      <c r="B23" s="180" t="s">
        <v>127</v>
      </c>
      <c r="C23" s="181" t="s">
        <v>128</v>
      </c>
      <c r="D23" s="182">
        <f t="shared" si="0"/>
        <v>10880</v>
      </c>
      <c r="E23" s="200">
        <f t="shared" si="1"/>
        <v>15.860000000000582</v>
      </c>
      <c r="F23" s="201">
        <f t="shared" si="2"/>
        <v>10864.14</v>
      </c>
      <c r="G23" s="187">
        <v>9680</v>
      </c>
      <c r="H23" s="202">
        <v>9679.26</v>
      </c>
      <c r="I23" s="203">
        <v>1200</v>
      </c>
      <c r="J23" s="186">
        <v>1184.8800000000001</v>
      </c>
      <c r="K23" s="187"/>
      <c r="L23" s="186"/>
      <c r="M23" s="187"/>
      <c r="N23" s="186"/>
      <c r="O23" s="187"/>
      <c r="P23" s="186"/>
      <c r="Q23" s="187"/>
      <c r="R23" s="186"/>
      <c r="S23" s="187"/>
      <c r="T23" s="186"/>
      <c r="U23" s="187"/>
      <c r="V23" s="186"/>
      <c r="W23" s="187"/>
      <c r="X23" s="186"/>
      <c r="Y23" s="187"/>
      <c r="Z23" s="186"/>
      <c r="AA23" s="187"/>
      <c r="AB23" s="186"/>
    </row>
    <row r="24" spans="1:28" x14ac:dyDescent="0.2">
      <c r="A24" s="441"/>
      <c r="B24" s="180" t="s">
        <v>129</v>
      </c>
      <c r="C24" s="181" t="s">
        <v>130</v>
      </c>
      <c r="D24" s="182">
        <f t="shared" si="0"/>
        <v>581</v>
      </c>
      <c r="E24" s="200">
        <f t="shared" si="1"/>
        <v>0.79999999999995453</v>
      </c>
      <c r="F24" s="201">
        <f t="shared" si="2"/>
        <v>580.20000000000005</v>
      </c>
      <c r="G24" s="187">
        <v>581</v>
      </c>
      <c r="H24" s="202">
        <v>580.20000000000005</v>
      </c>
      <c r="I24" s="203"/>
      <c r="J24" s="186"/>
      <c r="K24" s="187"/>
      <c r="L24" s="186"/>
      <c r="M24" s="187"/>
      <c r="N24" s="186"/>
      <c r="O24" s="187"/>
      <c r="P24" s="186"/>
      <c r="Q24" s="187"/>
      <c r="R24" s="186"/>
      <c r="S24" s="187"/>
      <c r="T24" s="186"/>
      <c r="U24" s="187"/>
      <c r="V24" s="186"/>
      <c r="W24" s="187"/>
      <c r="X24" s="186"/>
      <c r="Y24" s="187"/>
      <c r="Z24" s="186"/>
      <c r="AA24" s="187"/>
      <c r="AB24" s="186"/>
    </row>
    <row r="25" spans="1:28" x14ac:dyDescent="0.2">
      <c r="A25" s="441"/>
      <c r="B25" s="180" t="s">
        <v>131</v>
      </c>
      <c r="C25" s="181" t="s">
        <v>132</v>
      </c>
      <c r="D25" s="182">
        <f t="shared" si="0"/>
        <v>6913</v>
      </c>
      <c r="E25" s="200">
        <f t="shared" si="1"/>
        <v>2.0200000000004366</v>
      </c>
      <c r="F25" s="201">
        <f t="shared" si="2"/>
        <v>6910.98</v>
      </c>
      <c r="G25" s="187"/>
      <c r="H25" s="202"/>
      <c r="I25" s="203"/>
      <c r="J25" s="186"/>
      <c r="K25" s="187">
        <v>1131</v>
      </c>
      <c r="L25" s="186">
        <v>1130.44</v>
      </c>
      <c r="M25" s="187"/>
      <c r="N25" s="186"/>
      <c r="O25" s="187"/>
      <c r="P25" s="186"/>
      <c r="Q25" s="187">
        <v>4487</v>
      </c>
      <c r="R25" s="186">
        <v>4486.4799999999996</v>
      </c>
      <c r="S25" s="187">
        <v>1295</v>
      </c>
      <c r="T25" s="186">
        <v>1294.06</v>
      </c>
      <c r="U25" s="187"/>
      <c r="V25" s="186"/>
      <c r="W25" s="187"/>
      <c r="X25" s="186"/>
      <c r="Y25" s="187"/>
      <c r="Z25" s="186"/>
      <c r="AA25" s="187"/>
      <c r="AB25" s="186"/>
    </row>
    <row r="26" spans="1:28" ht="25.5" x14ac:dyDescent="0.2">
      <c r="A26" s="441"/>
      <c r="B26" s="180" t="s">
        <v>133</v>
      </c>
      <c r="C26" s="181" t="s">
        <v>134</v>
      </c>
      <c r="D26" s="182">
        <f t="shared" si="0"/>
        <v>13083</v>
      </c>
      <c r="E26" s="200">
        <f t="shared" si="1"/>
        <v>1.430000000000291</v>
      </c>
      <c r="F26" s="201">
        <f t="shared" si="2"/>
        <v>13081.57</v>
      </c>
      <c r="G26" s="187">
        <v>12497</v>
      </c>
      <c r="H26" s="202">
        <v>12497.07</v>
      </c>
      <c r="I26" s="203">
        <v>522</v>
      </c>
      <c r="J26" s="186">
        <v>521.46</v>
      </c>
      <c r="K26" s="187"/>
      <c r="L26" s="186"/>
      <c r="M26" s="187"/>
      <c r="N26" s="186"/>
      <c r="O26" s="187"/>
      <c r="P26" s="186"/>
      <c r="Q26" s="187"/>
      <c r="R26" s="186"/>
      <c r="S26" s="187"/>
      <c r="T26" s="186"/>
      <c r="U26" s="187">
        <v>64</v>
      </c>
      <c r="V26" s="186">
        <v>63.04</v>
      </c>
      <c r="W26" s="187"/>
      <c r="X26" s="186"/>
      <c r="Y26" s="187"/>
      <c r="Z26" s="186"/>
      <c r="AA26" s="187"/>
      <c r="AB26" s="186"/>
    </row>
    <row r="27" spans="1:28" x14ac:dyDescent="0.2">
      <c r="A27" s="441"/>
      <c r="B27" s="180" t="s">
        <v>135</v>
      </c>
      <c r="C27" s="181" t="s">
        <v>136</v>
      </c>
      <c r="D27" s="182">
        <f t="shared" si="0"/>
        <v>84</v>
      </c>
      <c r="E27" s="200">
        <f t="shared" si="1"/>
        <v>0</v>
      </c>
      <c r="F27" s="201">
        <f t="shared" si="2"/>
        <v>84</v>
      </c>
      <c r="G27" s="187"/>
      <c r="H27" s="202"/>
      <c r="I27" s="203"/>
      <c r="J27" s="186"/>
      <c r="K27" s="187"/>
      <c r="L27" s="186"/>
      <c r="M27" s="187"/>
      <c r="N27" s="186"/>
      <c r="O27" s="187"/>
      <c r="P27" s="186"/>
      <c r="Q27" s="187"/>
      <c r="R27" s="186"/>
      <c r="S27" s="187"/>
      <c r="T27" s="186"/>
      <c r="U27" s="187"/>
      <c r="V27" s="186"/>
      <c r="W27" s="187">
        <v>84</v>
      </c>
      <c r="X27" s="186">
        <v>84</v>
      </c>
      <c r="Y27" s="187"/>
      <c r="Z27" s="186"/>
      <c r="AA27" s="187"/>
      <c r="AB27" s="186"/>
    </row>
    <row r="28" spans="1:28" x14ac:dyDescent="0.2">
      <c r="A28" s="441"/>
      <c r="B28" s="190" t="s">
        <v>137</v>
      </c>
      <c r="C28" s="191" t="s">
        <v>138</v>
      </c>
      <c r="D28" s="204">
        <f t="shared" si="0"/>
        <v>850</v>
      </c>
      <c r="E28" s="205">
        <f t="shared" si="1"/>
        <v>4</v>
      </c>
      <c r="F28" s="206">
        <f t="shared" si="2"/>
        <v>846</v>
      </c>
      <c r="G28" s="187"/>
      <c r="H28" s="202"/>
      <c r="I28" s="203"/>
      <c r="J28" s="186"/>
      <c r="K28" s="187"/>
      <c r="L28" s="186"/>
      <c r="M28" s="187"/>
      <c r="N28" s="186"/>
      <c r="O28" s="187"/>
      <c r="P28" s="186"/>
      <c r="Q28" s="187"/>
      <c r="R28" s="186"/>
      <c r="S28" s="187"/>
      <c r="T28" s="186"/>
      <c r="U28" s="187">
        <v>850</v>
      </c>
      <c r="V28" s="186">
        <v>846</v>
      </c>
      <c r="W28" s="187"/>
      <c r="X28" s="186"/>
      <c r="Y28" s="187"/>
      <c r="Z28" s="186"/>
      <c r="AA28" s="187"/>
      <c r="AB28" s="186"/>
    </row>
    <row r="29" spans="1:28" x14ac:dyDescent="0.2">
      <c r="A29" s="441"/>
      <c r="B29" s="190" t="s">
        <v>139</v>
      </c>
      <c r="C29" s="191" t="s">
        <v>140</v>
      </c>
      <c r="D29" s="192"/>
      <c r="E29" s="207"/>
      <c r="F29" s="208"/>
      <c r="G29" s="197"/>
      <c r="H29" s="209"/>
      <c r="I29" s="210"/>
      <c r="J29" s="196"/>
      <c r="K29" s="197"/>
      <c r="L29" s="196"/>
      <c r="M29" s="197"/>
      <c r="N29" s="196"/>
      <c r="O29" s="197"/>
      <c r="P29" s="196"/>
      <c r="Q29" s="197"/>
      <c r="R29" s="196"/>
      <c r="S29" s="197"/>
      <c r="T29" s="196"/>
      <c r="U29" s="197"/>
      <c r="V29" s="196"/>
      <c r="W29" s="197"/>
      <c r="X29" s="196"/>
      <c r="Y29" s="197"/>
      <c r="Z29" s="196"/>
      <c r="AA29" s="197"/>
      <c r="AB29" s="196"/>
    </row>
    <row r="30" spans="1:28" ht="12.75" customHeight="1" x14ac:dyDescent="0.2">
      <c r="A30" s="441">
        <v>419</v>
      </c>
      <c r="B30" s="443" t="s">
        <v>141</v>
      </c>
      <c r="C30" s="443"/>
      <c r="D30" s="175">
        <f t="shared" ref="D30:D45" si="5">G30+I30+K30+M30+O30+Q30+S30+U30+W30+Y30+AA30</f>
        <v>66000</v>
      </c>
      <c r="E30" s="176">
        <f t="shared" ref="E30:E45" si="6">D30-F30</f>
        <v>13193.240000000005</v>
      </c>
      <c r="F30" s="177">
        <f t="shared" ref="F30:F45" si="7">H30+J30+L30+N30+P30+R30+T30+V30+X30+Z30+AB30</f>
        <v>52806.759999999995</v>
      </c>
      <c r="G30" s="178">
        <f t="shared" ref="G30:AB30" si="8">SUM(G31:G32)</f>
        <v>14000</v>
      </c>
      <c r="H30" s="178">
        <f t="shared" si="8"/>
        <v>9583.74</v>
      </c>
      <c r="I30" s="179">
        <f t="shared" si="8"/>
        <v>52000</v>
      </c>
      <c r="J30" s="178">
        <f t="shared" si="8"/>
        <v>43223.02</v>
      </c>
      <c r="K30" s="179">
        <f t="shared" si="8"/>
        <v>0</v>
      </c>
      <c r="L30" s="178">
        <f t="shared" si="8"/>
        <v>0</v>
      </c>
      <c r="M30" s="179">
        <f t="shared" si="8"/>
        <v>0</v>
      </c>
      <c r="N30" s="178">
        <f t="shared" si="8"/>
        <v>0</v>
      </c>
      <c r="O30" s="179">
        <f t="shared" si="8"/>
        <v>0</v>
      </c>
      <c r="P30" s="178">
        <f t="shared" si="8"/>
        <v>0</v>
      </c>
      <c r="Q30" s="179">
        <f t="shared" si="8"/>
        <v>0</v>
      </c>
      <c r="R30" s="178">
        <f t="shared" si="8"/>
        <v>0</v>
      </c>
      <c r="S30" s="179">
        <f t="shared" si="8"/>
        <v>0</v>
      </c>
      <c r="T30" s="178">
        <f t="shared" si="8"/>
        <v>0</v>
      </c>
      <c r="U30" s="179">
        <f t="shared" si="8"/>
        <v>0</v>
      </c>
      <c r="V30" s="178">
        <f t="shared" si="8"/>
        <v>0</v>
      </c>
      <c r="W30" s="179">
        <f t="shared" si="8"/>
        <v>0</v>
      </c>
      <c r="X30" s="178">
        <f t="shared" si="8"/>
        <v>0</v>
      </c>
      <c r="Y30" s="179">
        <f t="shared" si="8"/>
        <v>0</v>
      </c>
      <c r="Z30" s="178">
        <f t="shared" si="8"/>
        <v>0</v>
      </c>
      <c r="AA30" s="179">
        <f t="shared" si="8"/>
        <v>0</v>
      </c>
      <c r="AB30" s="178">
        <f t="shared" si="8"/>
        <v>0</v>
      </c>
    </row>
    <row r="31" spans="1:28" x14ac:dyDescent="0.2">
      <c r="A31" s="441"/>
      <c r="B31" s="180" t="s">
        <v>142</v>
      </c>
      <c r="C31" s="181" t="s">
        <v>143</v>
      </c>
      <c r="D31" s="182">
        <f t="shared" si="5"/>
        <v>62500</v>
      </c>
      <c r="E31" s="183">
        <f t="shared" si="6"/>
        <v>11350.400000000001</v>
      </c>
      <c r="F31" s="184">
        <f t="shared" si="7"/>
        <v>51149.599999999999</v>
      </c>
      <c r="G31" s="185">
        <v>12500</v>
      </c>
      <c r="H31" s="186">
        <v>8135.79</v>
      </c>
      <c r="I31" s="187">
        <v>50000</v>
      </c>
      <c r="J31" s="186">
        <v>43013.81</v>
      </c>
      <c r="K31" s="187"/>
      <c r="L31" s="186"/>
      <c r="M31" s="187"/>
      <c r="N31" s="186"/>
      <c r="O31" s="187"/>
      <c r="P31" s="186"/>
      <c r="Q31" s="187"/>
      <c r="R31" s="186"/>
      <c r="S31" s="187"/>
      <c r="T31" s="186"/>
      <c r="U31" s="187"/>
      <c r="V31" s="186"/>
      <c r="W31" s="187"/>
      <c r="X31" s="186"/>
      <c r="Y31" s="187"/>
      <c r="Z31" s="186"/>
      <c r="AA31" s="187"/>
      <c r="AB31" s="186"/>
    </row>
    <row r="32" spans="1:28" ht="17.850000000000001" customHeight="1" x14ac:dyDescent="0.2">
      <c r="A32" s="441"/>
      <c r="B32" s="190" t="s">
        <v>144</v>
      </c>
      <c r="C32" s="191" t="s">
        <v>145</v>
      </c>
      <c r="D32" s="192">
        <f t="shared" si="5"/>
        <v>3500</v>
      </c>
      <c r="E32" s="193">
        <f t="shared" si="6"/>
        <v>1842.84</v>
      </c>
      <c r="F32" s="194">
        <f t="shared" si="7"/>
        <v>1657.16</v>
      </c>
      <c r="G32" s="195">
        <v>1500</v>
      </c>
      <c r="H32" s="196">
        <v>1447.95</v>
      </c>
      <c r="I32" s="197">
        <v>2000</v>
      </c>
      <c r="J32" s="196">
        <v>209.21</v>
      </c>
      <c r="K32" s="197"/>
      <c r="L32" s="196"/>
      <c r="M32" s="197"/>
      <c r="N32" s="196"/>
      <c r="O32" s="197"/>
      <c r="P32" s="196"/>
      <c r="Q32" s="197"/>
      <c r="R32" s="196"/>
      <c r="S32" s="197"/>
      <c r="T32" s="196"/>
      <c r="U32" s="197"/>
      <c r="V32" s="196"/>
      <c r="W32" s="197"/>
      <c r="X32" s="196"/>
      <c r="Y32" s="197"/>
      <c r="Z32" s="196"/>
      <c r="AA32" s="197"/>
      <c r="AB32" s="196"/>
    </row>
    <row r="33" spans="1:28" ht="12.75" customHeight="1" x14ac:dyDescent="0.2">
      <c r="A33" s="441">
        <v>420</v>
      </c>
      <c r="B33" s="443" t="s">
        <v>146</v>
      </c>
      <c r="C33" s="443"/>
      <c r="D33" s="175">
        <f t="shared" si="5"/>
        <v>42491</v>
      </c>
      <c r="E33" s="176">
        <f t="shared" si="6"/>
        <v>92.30000000000291</v>
      </c>
      <c r="F33" s="177">
        <f t="shared" si="7"/>
        <v>42398.7</v>
      </c>
      <c r="G33" s="178">
        <f t="shared" ref="G33:AB33" si="9">SUM(G34:G47)</f>
        <v>13742</v>
      </c>
      <c r="H33" s="178">
        <f t="shared" si="9"/>
        <v>13738.07</v>
      </c>
      <c r="I33" s="179">
        <f t="shared" si="9"/>
        <v>9793</v>
      </c>
      <c r="J33" s="178">
        <f t="shared" si="9"/>
        <v>9705.52</v>
      </c>
      <c r="K33" s="179">
        <f t="shared" si="9"/>
        <v>9342</v>
      </c>
      <c r="L33" s="178">
        <f t="shared" si="9"/>
        <v>9341.4</v>
      </c>
      <c r="M33" s="179">
        <f t="shared" si="9"/>
        <v>700</v>
      </c>
      <c r="N33" s="178">
        <f t="shared" si="9"/>
        <v>700</v>
      </c>
      <c r="O33" s="179">
        <f t="shared" si="9"/>
        <v>0</v>
      </c>
      <c r="P33" s="178">
        <f t="shared" si="9"/>
        <v>0</v>
      </c>
      <c r="Q33" s="179">
        <f t="shared" si="9"/>
        <v>6056</v>
      </c>
      <c r="R33" s="178">
        <f t="shared" si="9"/>
        <v>6056</v>
      </c>
      <c r="S33" s="179">
        <f t="shared" si="9"/>
        <v>0</v>
      </c>
      <c r="T33" s="178">
        <f t="shared" si="9"/>
        <v>0</v>
      </c>
      <c r="U33" s="179">
        <f t="shared" si="9"/>
        <v>2448</v>
      </c>
      <c r="V33" s="178">
        <f t="shared" si="9"/>
        <v>2447.71</v>
      </c>
      <c r="W33" s="179">
        <f t="shared" si="9"/>
        <v>410</v>
      </c>
      <c r="X33" s="178">
        <f t="shared" si="9"/>
        <v>410</v>
      </c>
      <c r="Y33" s="179">
        <f t="shared" si="9"/>
        <v>0</v>
      </c>
      <c r="Z33" s="178">
        <f t="shared" si="9"/>
        <v>0</v>
      </c>
      <c r="AA33" s="179">
        <f t="shared" si="9"/>
        <v>0</v>
      </c>
      <c r="AB33" s="178">
        <f t="shared" si="9"/>
        <v>0</v>
      </c>
    </row>
    <row r="34" spans="1:28" x14ac:dyDescent="0.2">
      <c r="A34" s="441"/>
      <c r="B34" s="180" t="s">
        <v>147</v>
      </c>
      <c r="C34" s="181" t="s">
        <v>148</v>
      </c>
      <c r="D34" s="182">
        <f t="shared" si="5"/>
        <v>4951</v>
      </c>
      <c r="E34" s="183">
        <f t="shared" si="6"/>
        <v>1.2399999999997817</v>
      </c>
      <c r="F34" s="184">
        <f t="shared" si="7"/>
        <v>4949.76</v>
      </c>
      <c r="G34" s="185">
        <v>1170</v>
      </c>
      <c r="H34" s="186">
        <v>1169.49</v>
      </c>
      <c r="I34" s="187">
        <v>3781</v>
      </c>
      <c r="J34" s="186">
        <v>3780.27</v>
      </c>
      <c r="K34" s="187"/>
      <c r="L34" s="186"/>
      <c r="M34" s="187"/>
      <c r="N34" s="186"/>
      <c r="O34" s="187"/>
      <c r="P34" s="186"/>
      <c r="Q34" s="187"/>
      <c r="R34" s="186"/>
      <c r="S34" s="187"/>
      <c r="T34" s="186"/>
      <c r="U34" s="187"/>
      <c r="V34" s="186"/>
      <c r="W34" s="187"/>
      <c r="X34" s="186"/>
      <c r="Y34" s="187"/>
      <c r="Z34" s="186"/>
      <c r="AA34" s="187"/>
      <c r="AB34" s="186"/>
    </row>
    <row r="35" spans="1:28" x14ac:dyDescent="0.2">
      <c r="A35" s="441"/>
      <c r="B35" s="180" t="s">
        <v>149</v>
      </c>
      <c r="C35" s="181" t="s">
        <v>150</v>
      </c>
      <c r="D35" s="182">
        <f t="shared" si="5"/>
        <v>2278</v>
      </c>
      <c r="E35" s="183">
        <f t="shared" si="6"/>
        <v>25.130000000000109</v>
      </c>
      <c r="F35" s="184">
        <f t="shared" si="7"/>
        <v>2252.87</v>
      </c>
      <c r="G35" s="185">
        <v>1878</v>
      </c>
      <c r="H35" s="186">
        <v>1877.42</v>
      </c>
      <c r="I35" s="187">
        <v>400</v>
      </c>
      <c r="J35" s="186">
        <v>375.45</v>
      </c>
      <c r="K35" s="187"/>
      <c r="L35" s="186"/>
      <c r="M35" s="187"/>
      <c r="N35" s="186"/>
      <c r="O35" s="187"/>
      <c r="P35" s="186"/>
      <c r="Q35" s="187"/>
      <c r="R35" s="186"/>
      <c r="S35" s="187"/>
      <c r="T35" s="186"/>
      <c r="U35" s="187"/>
      <c r="V35" s="186"/>
      <c r="W35" s="187"/>
      <c r="X35" s="186"/>
      <c r="Y35" s="187"/>
      <c r="Z35" s="186"/>
      <c r="AA35" s="187"/>
      <c r="AB35" s="186"/>
    </row>
    <row r="36" spans="1:28" x14ac:dyDescent="0.2">
      <c r="A36" s="441"/>
      <c r="B36" s="180" t="s">
        <v>151</v>
      </c>
      <c r="C36" s="181" t="s">
        <v>152</v>
      </c>
      <c r="D36" s="182">
        <f t="shared" si="5"/>
        <v>3781</v>
      </c>
      <c r="E36" s="183">
        <f t="shared" si="6"/>
        <v>62.159999999999854</v>
      </c>
      <c r="F36" s="184">
        <f t="shared" si="7"/>
        <v>3718.84</v>
      </c>
      <c r="G36" s="185">
        <v>481</v>
      </c>
      <c r="H36" s="186">
        <v>480</v>
      </c>
      <c r="I36" s="187">
        <v>3300</v>
      </c>
      <c r="J36" s="186">
        <v>3238.84</v>
      </c>
      <c r="K36" s="187"/>
      <c r="L36" s="186"/>
      <c r="M36" s="187"/>
      <c r="N36" s="186"/>
      <c r="O36" s="187"/>
      <c r="P36" s="186"/>
      <c r="Q36" s="187"/>
      <c r="R36" s="186"/>
      <c r="S36" s="187"/>
      <c r="T36" s="186"/>
      <c r="U36" s="187"/>
      <c r="V36" s="186"/>
      <c r="W36" s="187"/>
      <c r="X36" s="186"/>
      <c r="Y36" s="187"/>
      <c r="Z36" s="186"/>
      <c r="AA36" s="187"/>
      <c r="AB36" s="186"/>
    </row>
    <row r="37" spans="1:28" x14ac:dyDescent="0.2">
      <c r="A37" s="441"/>
      <c r="B37" s="180" t="s">
        <v>153</v>
      </c>
      <c r="C37" s="181" t="s">
        <v>154</v>
      </c>
      <c r="D37" s="182">
        <f t="shared" si="5"/>
        <v>3153</v>
      </c>
      <c r="E37" s="183">
        <f t="shared" si="6"/>
        <v>1.7599999999997635</v>
      </c>
      <c r="F37" s="184">
        <f t="shared" si="7"/>
        <v>3151.2400000000002</v>
      </c>
      <c r="G37" s="185">
        <v>1980</v>
      </c>
      <c r="H37" s="186">
        <v>1979.04</v>
      </c>
      <c r="I37" s="187">
        <v>762</v>
      </c>
      <c r="J37" s="186">
        <v>761.8</v>
      </c>
      <c r="K37" s="187">
        <v>411</v>
      </c>
      <c r="L37" s="186">
        <v>410.4</v>
      </c>
      <c r="M37" s="187"/>
      <c r="N37" s="186"/>
      <c r="O37" s="187"/>
      <c r="P37" s="186"/>
      <c r="Q37" s="187"/>
      <c r="R37" s="186"/>
      <c r="S37" s="187"/>
      <c r="T37" s="186"/>
      <c r="U37" s="187"/>
      <c r="V37" s="186"/>
      <c r="W37" s="187"/>
      <c r="X37" s="186"/>
      <c r="Y37" s="187"/>
      <c r="Z37" s="186"/>
      <c r="AA37" s="187"/>
      <c r="AB37" s="186"/>
    </row>
    <row r="38" spans="1:28" x14ac:dyDescent="0.2">
      <c r="A38" s="441"/>
      <c r="B38" s="180" t="s">
        <v>155</v>
      </c>
      <c r="C38" s="181" t="s">
        <v>156</v>
      </c>
      <c r="D38" s="182">
        <f t="shared" si="5"/>
        <v>2620</v>
      </c>
      <c r="E38" s="183">
        <f t="shared" si="6"/>
        <v>9.9999999999909051E-2</v>
      </c>
      <c r="F38" s="184">
        <f t="shared" si="7"/>
        <v>2619.9</v>
      </c>
      <c r="G38" s="185">
        <v>2620</v>
      </c>
      <c r="H38" s="186">
        <v>2619.9</v>
      </c>
      <c r="I38" s="187"/>
      <c r="J38" s="186"/>
      <c r="K38" s="187"/>
      <c r="L38" s="186"/>
      <c r="M38" s="187"/>
      <c r="N38" s="186"/>
      <c r="O38" s="187"/>
      <c r="P38" s="186"/>
      <c r="Q38" s="187"/>
      <c r="R38" s="186"/>
      <c r="S38" s="187"/>
      <c r="T38" s="186"/>
      <c r="U38" s="187"/>
      <c r="V38" s="186"/>
      <c r="W38" s="187"/>
      <c r="X38" s="186"/>
      <c r="Y38" s="187"/>
      <c r="Z38" s="186"/>
      <c r="AA38" s="187"/>
      <c r="AB38" s="186"/>
    </row>
    <row r="39" spans="1:28" x14ac:dyDescent="0.2">
      <c r="A39" s="441"/>
      <c r="B39" s="180" t="s">
        <v>157</v>
      </c>
      <c r="C39" s="181" t="s">
        <v>158</v>
      </c>
      <c r="D39" s="182">
        <f t="shared" si="5"/>
        <v>1550</v>
      </c>
      <c r="E39" s="183">
        <f t="shared" si="6"/>
        <v>0.83999999999991815</v>
      </c>
      <c r="F39" s="184">
        <f t="shared" si="7"/>
        <v>1549.16</v>
      </c>
      <c r="G39" s="185"/>
      <c r="H39" s="186"/>
      <c r="I39" s="187">
        <v>1550</v>
      </c>
      <c r="J39" s="186">
        <v>1549.16</v>
      </c>
      <c r="K39" s="187"/>
      <c r="L39" s="186"/>
      <c r="M39" s="187"/>
      <c r="N39" s="186"/>
      <c r="O39" s="187"/>
      <c r="P39" s="186"/>
      <c r="Q39" s="187"/>
      <c r="R39" s="186"/>
      <c r="S39" s="187"/>
      <c r="T39" s="186"/>
      <c r="U39" s="187"/>
      <c r="V39" s="186"/>
      <c r="W39" s="187"/>
      <c r="X39" s="186"/>
      <c r="Y39" s="187"/>
      <c r="Z39" s="186"/>
      <c r="AA39" s="187"/>
      <c r="AB39" s="186"/>
    </row>
    <row r="40" spans="1:28" ht="25.5" x14ac:dyDescent="0.2">
      <c r="A40" s="441"/>
      <c r="B40" s="180" t="s">
        <v>159</v>
      </c>
      <c r="C40" s="181" t="s">
        <v>160</v>
      </c>
      <c r="D40" s="182">
        <f t="shared" si="5"/>
        <v>2795</v>
      </c>
      <c r="E40" s="183">
        <f t="shared" si="6"/>
        <v>0</v>
      </c>
      <c r="F40" s="184">
        <f t="shared" si="7"/>
        <v>2795</v>
      </c>
      <c r="G40" s="185">
        <v>2795</v>
      </c>
      <c r="H40" s="186">
        <v>2795</v>
      </c>
      <c r="I40" s="187"/>
      <c r="J40" s="186"/>
      <c r="K40" s="187"/>
      <c r="L40" s="186"/>
      <c r="M40" s="187"/>
      <c r="N40" s="186"/>
      <c r="O40" s="187"/>
      <c r="P40" s="186"/>
      <c r="Q40" s="187"/>
      <c r="R40" s="186"/>
      <c r="S40" s="187"/>
      <c r="T40" s="186"/>
      <c r="U40" s="187"/>
      <c r="V40" s="186"/>
      <c r="W40" s="187"/>
      <c r="X40" s="186"/>
      <c r="Y40" s="187"/>
      <c r="Z40" s="186"/>
      <c r="AA40" s="187"/>
      <c r="AB40" s="186"/>
    </row>
    <row r="41" spans="1:28" x14ac:dyDescent="0.2">
      <c r="A41" s="441"/>
      <c r="B41" s="180" t="s">
        <v>161</v>
      </c>
      <c r="C41" s="181" t="s">
        <v>162</v>
      </c>
      <c r="D41" s="182">
        <f t="shared" si="5"/>
        <v>6815</v>
      </c>
      <c r="E41" s="183">
        <f t="shared" si="6"/>
        <v>0</v>
      </c>
      <c r="F41" s="184">
        <f t="shared" si="7"/>
        <v>6815</v>
      </c>
      <c r="G41" s="185">
        <v>524</v>
      </c>
      <c r="H41" s="186">
        <v>524</v>
      </c>
      <c r="I41" s="187"/>
      <c r="J41" s="186"/>
      <c r="K41" s="187">
        <v>2131</v>
      </c>
      <c r="L41" s="186">
        <v>2131</v>
      </c>
      <c r="M41" s="187"/>
      <c r="N41" s="186"/>
      <c r="O41" s="187"/>
      <c r="P41" s="186"/>
      <c r="Q41" s="187">
        <v>3160</v>
      </c>
      <c r="R41" s="186">
        <v>3160</v>
      </c>
      <c r="S41" s="187"/>
      <c r="T41" s="186"/>
      <c r="U41" s="187">
        <v>1000</v>
      </c>
      <c r="V41" s="186">
        <v>1000</v>
      </c>
      <c r="W41" s="187"/>
      <c r="X41" s="186"/>
      <c r="Y41" s="187"/>
      <c r="Z41" s="186"/>
      <c r="AA41" s="187"/>
      <c r="AB41" s="186"/>
    </row>
    <row r="42" spans="1:28" ht="25.5" x14ac:dyDescent="0.2">
      <c r="A42" s="441"/>
      <c r="B42" s="180" t="s">
        <v>163</v>
      </c>
      <c r="C42" s="181" t="s">
        <v>164</v>
      </c>
      <c r="D42" s="182">
        <f t="shared" si="5"/>
        <v>11958</v>
      </c>
      <c r="E42" s="183">
        <f t="shared" si="6"/>
        <v>0.77000000000043656</v>
      </c>
      <c r="F42" s="184">
        <f t="shared" si="7"/>
        <v>11957.23</v>
      </c>
      <c r="G42" s="185">
        <v>1562</v>
      </c>
      <c r="H42" s="186">
        <v>1561.23</v>
      </c>
      <c r="I42" s="187"/>
      <c r="J42" s="186"/>
      <c r="K42" s="187">
        <v>6800</v>
      </c>
      <c r="L42" s="186">
        <v>6800</v>
      </c>
      <c r="M42" s="187">
        <v>700</v>
      </c>
      <c r="N42" s="186">
        <v>700</v>
      </c>
      <c r="O42" s="187"/>
      <c r="P42" s="186"/>
      <c r="Q42" s="187">
        <v>2896</v>
      </c>
      <c r="R42" s="186">
        <v>2896</v>
      </c>
      <c r="S42" s="187"/>
      <c r="T42" s="186"/>
      <c r="U42" s="187"/>
      <c r="V42" s="186"/>
      <c r="W42" s="187"/>
      <c r="X42" s="186"/>
      <c r="Y42" s="187"/>
      <c r="Z42" s="186"/>
      <c r="AA42" s="187"/>
      <c r="AB42" s="186"/>
    </row>
    <row r="43" spans="1:28" x14ac:dyDescent="0.2">
      <c r="A43" s="441"/>
      <c r="B43" s="180" t="s">
        <v>165</v>
      </c>
      <c r="C43" s="181" t="s">
        <v>166</v>
      </c>
      <c r="D43" s="182">
        <f t="shared" si="5"/>
        <v>0</v>
      </c>
      <c r="E43" s="183">
        <f t="shared" si="6"/>
        <v>0</v>
      </c>
      <c r="F43" s="184">
        <f t="shared" si="7"/>
        <v>0</v>
      </c>
      <c r="G43" s="185"/>
      <c r="H43" s="186"/>
      <c r="I43" s="187"/>
      <c r="J43" s="186"/>
      <c r="K43" s="187"/>
      <c r="L43" s="186"/>
      <c r="M43" s="187"/>
      <c r="N43" s="186"/>
      <c r="O43" s="187"/>
      <c r="P43" s="186"/>
      <c r="Q43" s="187"/>
      <c r="R43" s="186"/>
      <c r="S43" s="187"/>
      <c r="T43" s="186"/>
      <c r="U43" s="187"/>
      <c r="V43" s="186"/>
      <c r="W43" s="187"/>
      <c r="X43" s="186"/>
      <c r="Y43" s="187"/>
      <c r="Z43" s="186"/>
      <c r="AA43" s="187"/>
      <c r="AB43" s="186"/>
    </row>
    <row r="44" spans="1:28" x14ac:dyDescent="0.2">
      <c r="A44" s="441"/>
      <c r="B44" s="180" t="s">
        <v>167</v>
      </c>
      <c r="C44" s="181" t="s">
        <v>168</v>
      </c>
      <c r="D44" s="182">
        <f t="shared" si="5"/>
        <v>2180</v>
      </c>
      <c r="E44" s="183">
        <f t="shared" si="6"/>
        <v>0.3000000000001819</v>
      </c>
      <c r="F44" s="184">
        <f t="shared" si="7"/>
        <v>2179.6999999999998</v>
      </c>
      <c r="G44" s="185">
        <v>732</v>
      </c>
      <c r="H44" s="186">
        <v>731.99</v>
      </c>
      <c r="I44" s="187"/>
      <c r="J44" s="186"/>
      <c r="K44" s="187"/>
      <c r="L44" s="186"/>
      <c r="M44" s="187"/>
      <c r="N44" s="186"/>
      <c r="O44" s="187"/>
      <c r="P44" s="186"/>
      <c r="Q44" s="187"/>
      <c r="R44" s="186"/>
      <c r="S44" s="187"/>
      <c r="T44" s="186"/>
      <c r="U44" s="187">
        <v>1448</v>
      </c>
      <c r="V44" s="186">
        <v>1447.71</v>
      </c>
      <c r="W44" s="187"/>
      <c r="X44" s="186"/>
      <c r="Y44" s="187"/>
      <c r="Z44" s="186"/>
      <c r="AA44" s="187"/>
      <c r="AB44" s="186"/>
    </row>
    <row r="45" spans="1:28" x14ac:dyDescent="0.2">
      <c r="A45" s="441"/>
      <c r="B45" s="180" t="s">
        <v>169</v>
      </c>
      <c r="C45" s="181" t="s">
        <v>170</v>
      </c>
      <c r="D45" s="182">
        <f t="shared" si="5"/>
        <v>0</v>
      </c>
      <c r="E45" s="183">
        <f t="shared" si="6"/>
        <v>0</v>
      </c>
      <c r="F45" s="184">
        <f t="shared" si="7"/>
        <v>0</v>
      </c>
      <c r="G45" s="185"/>
      <c r="H45" s="186"/>
      <c r="I45" s="187"/>
      <c r="J45" s="186"/>
      <c r="K45" s="187"/>
      <c r="L45" s="186"/>
      <c r="M45" s="187"/>
      <c r="N45" s="186"/>
      <c r="O45" s="187"/>
      <c r="P45" s="186"/>
      <c r="Q45" s="187"/>
      <c r="R45" s="186"/>
      <c r="S45" s="187"/>
      <c r="T45" s="186"/>
      <c r="U45" s="187"/>
      <c r="V45" s="186"/>
      <c r="W45" s="187"/>
      <c r="X45" s="186"/>
      <c r="Y45" s="187"/>
      <c r="Z45" s="186"/>
      <c r="AA45" s="187"/>
      <c r="AB45" s="186"/>
    </row>
    <row r="46" spans="1:28" x14ac:dyDescent="0.2">
      <c r="A46" s="441"/>
      <c r="B46" s="180" t="s">
        <v>171</v>
      </c>
      <c r="C46" s="181" t="s">
        <v>136</v>
      </c>
      <c r="D46" s="182"/>
      <c r="E46" s="183"/>
      <c r="F46" s="184"/>
      <c r="G46" s="185"/>
      <c r="H46" s="186"/>
      <c r="I46" s="187"/>
      <c r="J46" s="186"/>
      <c r="K46" s="187"/>
      <c r="L46" s="186"/>
      <c r="M46" s="187"/>
      <c r="N46" s="186"/>
      <c r="O46" s="187"/>
      <c r="P46" s="186"/>
      <c r="Q46" s="187"/>
      <c r="R46" s="186"/>
      <c r="S46" s="187"/>
      <c r="T46" s="186"/>
      <c r="U46" s="187"/>
      <c r="V46" s="186"/>
      <c r="W46" s="187">
        <v>410</v>
      </c>
      <c r="X46" s="186">
        <v>410</v>
      </c>
      <c r="Y46" s="187"/>
      <c r="Z46" s="186"/>
      <c r="AA46" s="187"/>
      <c r="AB46" s="186"/>
    </row>
    <row r="47" spans="1:28" x14ac:dyDescent="0.2">
      <c r="A47" s="441"/>
      <c r="B47" s="190" t="s">
        <v>172</v>
      </c>
      <c r="C47" s="191" t="s">
        <v>173</v>
      </c>
      <c r="D47" s="192">
        <f t="shared" ref="D47:D61" si="10">G47+I47+K47+M47+O47+Q47+S47+U47+W47+Y47+AA47</f>
        <v>0</v>
      </c>
      <c r="E47" s="193">
        <f t="shared" ref="E47:E70" si="11">D47-F47</f>
        <v>0</v>
      </c>
      <c r="F47" s="194">
        <f t="shared" ref="F47:F70" si="12">H47+J47+L47+N47+P47+R47+T47+V47+X47+Z47+AB47</f>
        <v>0</v>
      </c>
      <c r="G47" s="195"/>
      <c r="H47" s="196"/>
      <c r="I47" s="197"/>
      <c r="J47" s="196"/>
      <c r="K47" s="197"/>
      <c r="L47" s="196"/>
      <c r="M47" s="197"/>
      <c r="N47" s="196"/>
      <c r="O47" s="197"/>
      <c r="P47" s="196"/>
      <c r="Q47" s="197"/>
      <c r="R47" s="196"/>
      <c r="S47" s="197"/>
      <c r="T47" s="196"/>
      <c r="U47" s="197"/>
      <c r="V47" s="196"/>
      <c r="W47" s="197"/>
      <c r="X47" s="196"/>
      <c r="Y47" s="197"/>
      <c r="Z47" s="196"/>
      <c r="AA47" s="197"/>
      <c r="AB47" s="196"/>
    </row>
    <row r="48" spans="1:28" ht="12.75" customHeight="1" x14ac:dyDescent="0.2">
      <c r="A48" s="441">
        <v>430</v>
      </c>
      <c r="B48" s="443" t="s">
        <v>174</v>
      </c>
      <c r="C48" s="443"/>
      <c r="D48" s="175">
        <f t="shared" si="10"/>
        <v>316948</v>
      </c>
      <c r="E48" s="176">
        <f t="shared" si="11"/>
        <v>4515.789999999979</v>
      </c>
      <c r="F48" s="177">
        <f t="shared" si="12"/>
        <v>312432.21000000002</v>
      </c>
      <c r="G48" s="178">
        <f t="shared" ref="G48:AB48" si="13">SUM(G49:G51)</f>
        <v>263713</v>
      </c>
      <c r="H48" s="178">
        <f t="shared" si="13"/>
        <v>259203.18000000002</v>
      </c>
      <c r="I48" s="179">
        <f t="shared" si="13"/>
        <v>0</v>
      </c>
      <c r="J48" s="178">
        <f t="shared" si="13"/>
        <v>0</v>
      </c>
      <c r="K48" s="179">
        <f t="shared" si="13"/>
        <v>11100</v>
      </c>
      <c r="L48" s="178">
        <f t="shared" si="13"/>
        <v>11097</v>
      </c>
      <c r="M48" s="179">
        <f t="shared" si="13"/>
        <v>0</v>
      </c>
      <c r="N48" s="178">
        <f t="shared" si="13"/>
        <v>0</v>
      </c>
      <c r="O48" s="179">
        <f t="shared" si="13"/>
        <v>711</v>
      </c>
      <c r="P48" s="178">
        <f t="shared" si="13"/>
        <v>710.99</v>
      </c>
      <c r="Q48" s="179">
        <f t="shared" si="13"/>
        <v>7711</v>
      </c>
      <c r="R48" s="178">
        <f t="shared" si="13"/>
        <v>7710.32</v>
      </c>
      <c r="S48" s="179">
        <f t="shared" si="13"/>
        <v>0</v>
      </c>
      <c r="T48" s="178">
        <f t="shared" si="13"/>
        <v>0</v>
      </c>
      <c r="U48" s="179">
        <f t="shared" si="13"/>
        <v>19859</v>
      </c>
      <c r="V48" s="178">
        <f t="shared" si="13"/>
        <v>19859</v>
      </c>
      <c r="W48" s="179">
        <f t="shared" si="13"/>
        <v>234</v>
      </c>
      <c r="X48" s="178">
        <f t="shared" si="13"/>
        <v>234</v>
      </c>
      <c r="Y48" s="179">
        <f t="shared" si="13"/>
        <v>13620</v>
      </c>
      <c r="Z48" s="178">
        <f t="shared" si="13"/>
        <v>13617.72</v>
      </c>
      <c r="AA48" s="179">
        <f t="shared" si="13"/>
        <v>0</v>
      </c>
      <c r="AB48" s="199">
        <f t="shared" si="13"/>
        <v>0</v>
      </c>
    </row>
    <row r="49" spans="1:29" x14ac:dyDescent="0.2">
      <c r="A49" s="441"/>
      <c r="B49" s="180" t="s">
        <v>175</v>
      </c>
      <c r="C49" s="181" t="s">
        <v>176</v>
      </c>
      <c r="D49" s="182">
        <f t="shared" si="10"/>
        <v>225500</v>
      </c>
      <c r="E49" s="183">
        <f t="shared" si="11"/>
        <v>4507.0799999999872</v>
      </c>
      <c r="F49" s="184">
        <f t="shared" si="12"/>
        <v>220992.92</v>
      </c>
      <c r="G49" s="185">
        <v>225500</v>
      </c>
      <c r="H49" s="186">
        <v>220992.92</v>
      </c>
      <c r="I49" s="187"/>
      <c r="J49" s="186"/>
      <c r="K49" s="187"/>
      <c r="L49" s="186"/>
      <c r="M49" s="187"/>
      <c r="N49" s="186"/>
      <c r="O49" s="187"/>
      <c r="P49" s="186"/>
      <c r="Q49" s="187"/>
      <c r="R49" s="186"/>
      <c r="S49" s="187"/>
      <c r="T49" s="186"/>
      <c r="U49" s="187"/>
      <c r="V49" s="186"/>
      <c r="W49" s="187"/>
      <c r="X49" s="186"/>
      <c r="Y49" s="187"/>
      <c r="Z49" s="186"/>
      <c r="AA49" s="187"/>
      <c r="AB49" s="186"/>
    </row>
    <row r="50" spans="1:29" ht="25.5" x14ac:dyDescent="0.2">
      <c r="A50" s="441"/>
      <c r="B50" s="180" t="s">
        <v>177</v>
      </c>
      <c r="C50" s="181" t="s">
        <v>178</v>
      </c>
      <c r="D50" s="204">
        <f t="shared" si="10"/>
        <v>28570</v>
      </c>
      <c r="E50" s="211">
        <f t="shared" si="11"/>
        <v>1.9599999999991269</v>
      </c>
      <c r="F50" s="212">
        <f t="shared" si="12"/>
        <v>28568.04</v>
      </c>
      <c r="G50" s="185">
        <v>28570</v>
      </c>
      <c r="H50" s="186">
        <v>28568.04</v>
      </c>
      <c r="I50" s="187"/>
      <c r="J50" s="186"/>
      <c r="K50" s="187"/>
      <c r="L50" s="186"/>
      <c r="M50" s="187"/>
      <c r="N50" s="186"/>
      <c r="O50" s="187"/>
      <c r="P50" s="186"/>
      <c r="Q50" s="187"/>
      <c r="R50" s="186"/>
      <c r="S50" s="187"/>
      <c r="T50" s="186"/>
      <c r="U50" s="187"/>
      <c r="V50" s="186"/>
      <c r="W50" s="187"/>
      <c r="X50" s="186"/>
      <c r="Y50" s="187"/>
      <c r="Z50" s="186"/>
      <c r="AA50" s="187"/>
      <c r="AB50" s="186"/>
    </row>
    <row r="51" spans="1:29" x14ac:dyDescent="0.2">
      <c r="A51" s="441"/>
      <c r="B51" s="213" t="s">
        <v>179</v>
      </c>
      <c r="C51" s="214" t="s">
        <v>180</v>
      </c>
      <c r="D51" s="215">
        <f t="shared" si="10"/>
        <v>62878</v>
      </c>
      <c r="E51" s="216">
        <f t="shared" si="11"/>
        <v>6.75</v>
      </c>
      <c r="F51" s="217">
        <f t="shared" si="12"/>
        <v>62871.25</v>
      </c>
      <c r="G51" s="195">
        <v>9643</v>
      </c>
      <c r="H51" s="196">
        <v>9642.2199999999993</v>
      </c>
      <c r="I51" s="197"/>
      <c r="J51" s="196"/>
      <c r="K51" s="197">
        <v>11100</v>
      </c>
      <c r="L51" s="196">
        <v>11097</v>
      </c>
      <c r="M51" s="197"/>
      <c r="N51" s="196"/>
      <c r="O51" s="197">
        <v>711</v>
      </c>
      <c r="P51" s="196">
        <v>710.99</v>
      </c>
      <c r="Q51" s="197">
        <v>7711</v>
      </c>
      <c r="R51" s="196">
        <v>7710.32</v>
      </c>
      <c r="S51" s="197"/>
      <c r="T51" s="196"/>
      <c r="U51" s="197">
        <v>19859</v>
      </c>
      <c r="V51" s="196">
        <v>19859</v>
      </c>
      <c r="W51" s="197">
        <v>234</v>
      </c>
      <c r="X51" s="196">
        <v>234</v>
      </c>
      <c r="Y51" s="197">
        <v>13620</v>
      </c>
      <c r="Z51" s="196">
        <v>13617.72</v>
      </c>
      <c r="AA51" s="197"/>
      <c r="AB51" s="196"/>
    </row>
    <row r="52" spans="1:29" s="152" customFormat="1" ht="12.75" customHeight="1" x14ac:dyDescent="0.2">
      <c r="A52" s="218">
        <v>440</v>
      </c>
      <c r="B52" s="448" t="s">
        <v>181</v>
      </c>
      <c r="C52" s="448"/>
      <c r="D52" s="176">
        <f t="shared" si="10"/>
        <v>5248</v>
      </c>
      <c r="E52" s="175">
        <f t="shared" si="11"/>
        <v>0.77999999999974534</v>
      </c>
      <c r="F52" s="177">
        <f t="shared" si="12"/>
        <v>5247.22</v>
      </c>
      <c r="G52" s="219">
        <v>5248</v>
      </c>
      <c r="H52" s="220">
        <v>5247.22</v>
      </c>
      <c r="I52" s="221"/>
      <c r="J52" s="220"/>
      <c r="K52" s="221"/>
      <c r="L52" s="220"/>
      <c r="M52" s="221"/>
      <c r="N52" s="220"/>
      <c r="O52" s="221"/>
      <c r="P52" s="220"/>
      <c r="Q52" s="221"/>
      <c r="R52" s="220"/>
      <c r="S52" s="221"/>
      <c r="T52" s="220"/>
      <c r="U52" s="221"/>
      <c r="V52" s="220"/>
      <c r="W52" s="221"/>
      <c r="X52" s="220"/>
      <c r="Y52" s="221"/>
      <c r="Z52" s="220"/>
      <c r="AA52" s="222"/>
      <c r="AB52" s="220"/>
      <c r="AC52" s="155"/>
    </row>
    <row r="53" spans="1:29" s="152" customFormat="1" ht="12.75" customHeight="1" x14ac:dyDescent="0.2">
      <c r="A53" s="449">
        <v>441</v>
      </c>
      <c r="B53" s="442" t="s">
        <v>182</v>
      </c>
      <c r="C53" s="442"/>
      <c r="D53" s="175">
        <f t="shared" si="10"/>
        <v>2485</v>
      </c>
      <c r="E53" s="176">
        <f t="shared" si="11"/>
        <v>0.92000000000007276</v>
      </c>
      <c r="F53" s="177">
        <f t="shared" si="12"/>
        <v>2484.08</v>
      </c>
      <c r="G53" s="178">
        <f t="shared" ref="G53:AB53" si="14">SUM(G54:G57)</f>
        <v>2485</v>
      </c>
      <c r="H53" s="178">
        <f t="shared" si="14"/>
        <v>2484.08</v>
      </c>
      <c r="I53" s="179">
        <f t="shared" si="14"/>
        <v>0</v>
      </c>
      <c r="J53" s="178">
        <f t="shared" si="14"/>
        <v>0</v>
      </c>
      <c r="K53" s="179">
        <f t="shared" si="14"/>
        <v>0</v>
      </c>
      <c r="L53" s="178">
        <f t="shared" si="14"/>
        <v>0</v>
      </c>
      <c r="M53" s="179">
        <f t="shared" si="14"/>
        <v>0</v>
      </c>
      <c r="N53" s="178">
        <f t="shared" si="14"/>
        <v>0</v>
      </c>
      <c r="O53" s="179">
        <f t="shared" si="14"/>
        <v>0</v>
      </c>
      <c r="P53" s="178">
        <f t="shared" si="14"/>
        <v>0</v>
      </c>
      <c r="Q53" s="179">
        <f t="shared" si="14"/>
        <v>0</v>
      </c>
      <c r="R53" s="178">
        <f t="shared" si="14"/>
        <v>0</v>
      </c>
      <c r="S53" s="179">
        <f t="shared" si="14"/>
        <v>0</v>
      </c>
      <c r="T53" s="178">
        <f t="shared" si="14"/>
        <v>0</v>
      </c>
      <c r="U53" s="179">
        <f t="shared" si="14"/>
        <v>0</v>
      </c>
      <c r="V53" s="178">
        <f t="shared" si="14"/>
        <v>0</v>
      </c>
      <c r="W53" s="179">
        <f t="shared" si="14"/>
        <v>0</v>
      </c>
      <c r="X53" s="178">
        <f t="shared" si="14"/>
        <v>0</v>
      </c>
      <c r="Y53" s="179">
        <f t="shared" si="14"/>
        <v>0</v>
      </c>
      <c r="Z53" s="178">
        <f t="shared" si="14"/>
        <v>0</v>
      </c>
      <c r="AA53" s="179">
        <f t="shared" si="14"/>
        <v>0</v>
      </c>
      <c r="AB53" s="178">
        <f t="shared" si="14"/>
        <v>0</v>
      </c>
      <c r="AC53" s="155"/>
    </row>
    <row r="54" spans="1:29" x14ac:dyDescent="0.2">
      <c r="A54" s="449"/>
      <c r="B54" s="180" t="s">
        <v>183</v>
      </c>
      <c r="C54" s="181" t="s">
        <v>184</v>
      </c>
      <c r="D54" s="182">
        <f t="shared" si="10"/>
        <v>859</v>
      </c>
      <c r="E54" s="183">
        <f t="shared" si="11"/>
        <v>0</v>
      </c>
      <c r="F54" s="184">
        <f t="shared" si="12"/>
        <v>859</v>
      </c>
      <c r="G54" s="185">
        <v>859</v>
      </c>
      <c r="H54" s="186">
        <v>859</v>
      </c>
      <c r="I54" s="187"/>
      <c r="J54" s="186"/>
      <c r="K54" s="187"/>
      <c r="L54" s="186"/>
      <c r="M54" s="187"/>
      <c r="N54" s="186"/>
      <c r="O54" s="187"/>
      <c r="P54" s="186"/>
      <c r="Q54" s="187"/>
      <c r="R54" s="186"/>
      <c r="S54" s="187"/>
      <c r="T54" s="186"/>
      <c r="U54" s="187"/>
      <c r="V54" s="186"/>
      <c r="W54" s="187"/>
      <c r="X54" s="186"/>
      <c r="Y54" s="187"/>
      <c r="Z54" s="186"/>
      <c r="AA54" s="187"/>
      <c r="AB54" s="186"/>
    </row>
    <row r="55" spans="1:29" x14ac:dyDescent="0.2">
      <c r="A55" s="449"/>
      <c r="B55" s="180" t="s">
        <v>185</v>
      </c>
      <c r="C55" s="181" t="s">
        <v>186</v>
      </c>
      <c r="D55" s="182">
        <f t="shared" si="10"/>
        <v>1576</v>
      </c>
      <c r="E55" s="183">
        <f t="shared" si="11"/>
        <v>0.92000000000007276</v>
      </c>
      <c r="F55" s="184">
        <f t="shared" si="12"/>
        <v>1575.08</v>
      </c>
      <c r="G55" s="185">
        <v>1576</v>
      </c>
      <c r="H55" s="186">
        <v>1575.08</v>
      </c>
      <c r="I55" s="187"/>
      <c r="J55" s="186"/>
      <c r="K55" s="187"/>
      <c r="L55" s="186"/>
      <c r="M55" s="187"/>
      <c r="N55" s="186"/>
      <c r="O55" s="187"/>
      <c r="P55" s="186"/>
      <c r="Q55" s="187"/>
      <c r="R55" s="186"/>
      <c r="S55" s="187"/>
      <c r="T55" s="186"/>
      <c r="U55" s="187"/>
      <c r="V55" s="186"/>
      <c r="W55" s="187"/>
      <c r="X55" s="186"/>
      <c r="Y55" s="187"/>
      <c r="Z55" s="186"/>
      <c r="AA55" s="187"/>
      <c r="AB55" s="186"/>
    </row>
    <row r="56" spans="1:29" x14ac:dyDescent="0.2">
      <c r="A56" s="449"/>
      <c r="B56" s="180" t="s">
        <v>187</v>
      </c>
      <c r="C56" s="181" t="s">
        <v>188</v>
      </c>
      <c r="D56" s="182">
        <f t="shared" si="10"/>
        <v>50</v>
      </c>
      <c r="E56" s="183">
        <f t="shared" si="11"/>
        <v>0</v>
      </c>
      <c r="F56" s="184">
        <f t="shared" si="12"/>
        <v>50</v>
      </c>
      <c r="G56" s="185">
        <v>50</v>
      </c>
      <c r="H56" s="186">
        <v>50</v>
      </c>
      <c r="I56" s="187"/>
      <c r="J56" s="186"/>
      <c r="K56" s="187"/>
      <c r="L56" s="186"/>
      <c r="M56" s="187"/>
      <c r="N56" s="186"/>
      <c r="O56" s="187"/>
      <c r="P56" s="186"/>
      <c r="Q56" s="187"/>
      <c r="R56" s="186"/>
      <c r="S56" s="187"/>
      <c r="T56" s="186"/>
      <c r="U56" s="187"/>
      <c r="V56" s="186"/>
      <c r="W56" s="187"/>
      <c r="X56" s="186"/>
      <c r="Y56" s="187"/>
      <c r="Z56" s="186"/>
      <c r="AA56" s="187"/>
      <c r="AB56" s="186"/>
    </row>
    <row r="57" spans="1:29" x14ac:dyDescent="0.2">
      <c r="A57" s="449"/>
      <c r="B57" s="190" t="s">
        <v>189</v>
      </c>
      <c r="C57" s="191" t="s">
        <v>190</v>
      </c>
      <c r="D57" s="192">
        <f t="shared" si="10"/>
        <v>0</v>
      </c>
      <c r="E57" s="193">
        <f t="shared" si="11"/>
        <v>0</v>
      </c>
      <c r="F57" s="194">
        <f t="shared" si="12"/>
        <v>0</v>
      </c>
      <c r="G57" s="195"/>
      <c r="H57" s="196"/>
      <c r="I57" s="197"/>
      <c r="J57" s="196"/>
      <c r="K57" s="197"/>
      <c r="L57" s="196"/>
      <c r="M57" s="197"/>
      <c r="N57" s="196"/>
      <c r="O57" s="197"/>
      <c r="P57" s="196"/>
      <c r="Q57" s="197"/>
      <c r="R57" s="196"/>
      <c r="S57" s="197"/>
      <c r="T57" s="196"/>
      <c r="U57" s="197"/>
      <c r="V57" s="196"/>
      <c r="W57" s="197"/>
      <c r="X57" s="196"/>
      <c r="Y57" s="197"/>
      <c r="Z57" s="196"/>
      <c r="AA57" s="197"/>
      <c r="AB57" s="196"/>
    </row>
    <row r="58" spans="1:29" s="152" customFormat="1" ht="12.75" customHeight="1" x14ac:dyDescent="0.2">
      <c r="A58" s="441">
        <v>445</v>
      </c>
      <c r="B58" s="443" t="s">
        <v>191</v>
      </c>
      <c r="C58" s="443"/>
      <c r="D58" s="175">
        <f t="shared" si="10"/>
        <v>49500</v>
      </c>
      <c r="E58" s="176">
        <f t="shared" si="11"/>
        <v>794.7699999999968</v>
      </c>
      <c r="F58" s="177">
        <f t="shared" si="12"/>
        <v>48705.23</v>
      </c>
      <c r="G58" s="178">
        <f t="shared" ref="G58:AB58" si="15">SUM(G59:G60)</f>
        <v>49500</v>
      </c>
      <c r="H58" s="178">
        <f t="shared" si="15"/>
        <v>48705.23</v>
      </c>
      <c r="I58" s="179">
        <f t="shared" si="15"/>
        <v>0</v>
      </c>
      <c r="J58" s="178">
        <f t="shared" si="15"/>
        <v>0</v>
      </c>
      <c r="K58" s="179">
        <f t="shared" si="15"/>
        <v>0</v>
      </c>
      <c r="L58" s="178">
        <f t="shared" si="15"/>
        <v>0</v>
      </c>
      <c r="M58" s="179">
        <f t="shared" si="15"/>
        <v>0</v>
      </c>
      <c r="N58" s="178">
        <f t="shared" si="15"/>
        <v>0</v>
      </c>
      <c r="O58" s="179">
        <f t="shared" si="15"/>
        <v>0</v>
      </c>
      <c r="P58" s="178">
        <f t="shared" si="15"/>
        <v>0</v>
      </c>
      <c r="Q58" s="179">
        <f t="shared" si="15"/>
        <v>0</v>
      </c>
      <c r="R58" s="178">
        <f t="shared" si="15"/>
        <v>0</v>
      </c>
      <c r="S58" s="179">
        <f t="shared" si="15"/>
        <v>0</v>
      </c>
      <c r="T58" s="178">
        <f t="shared" si="15"/>
        <v>0</v>
      </c>
      <c r="U58" s="179">
        <f t="shared" si="15"/>
        <v>0</v>
      </c>
      <c r="V58" s="178">
        <f t="shared" si="15"/>
        <v>0</v>
      </c>
      <c r="W58" s="179">
        <f t="shared" si="15"/>
        <v>0</v>
      </c>
      <c r="X58" s="178">
        <f t="shared" si="15"/>
        <v>0</v>
      </c>
      <c r="Y58" s="179">
        <f t="shared" si="15"/>
        <v>0</v>
      </c>
      <c r="Z58" s="178">
        <f t="shared" si="15"/>
        <v>0</v>
      </c>
      <c r="AA58" s="179">
        <f t="shared" si="15"/>
        <v>0</v>
      </c>
      <c r="AB58" s="178">
        <f t="shared" si="15"/>
        <v>0</v>
      </c>
      <c r="AC58" s="155"/>
    </row>
    <row r="59" spans="1:29" x14ac:dyDescent="0.2">
      <c r="A59" s="441"/>
      <c r="B59" s="180" t="s">
        <v>192</v>
      </c>
      <c r="C59" s="181" t="s">
        <v>193</v>
      </c>
      <c r="D59" s="182">
        <f t="shared" si="10"/>
        <v>46000</v>
      </c>
      <c r="E59" s="183">
        <f t="shared" si="11"/>
        <v>271.66999999999825</v>
      </c>
      <c r="F59" s="184">
        <f t="shared" si="12"/>
        <v>45728.33</v>
      </c>
      <c r="G59" s="185">
        <v>46000</v>
      </c>
      <c r="H59" s="186">
        <v>45728.33</v>
      </c>
      <c r="I59" s="187"/>
      <c r="J59" s="186"/>
      <c r="K59" s="187"/>
      <c r="L59" s="186"/>
      <c r="M59" s="187"/>
      <c r="N59" s="186"/>
      <c r="O59" s="187"/>
      <c r="P59" s="186"/>
      <c r="Q59" s="187"/>
      <c r="R59" s="186"/>
      <c r="S59" s="187"/>
      <c r="T59" s="186"/>
      <c r="U59" s="187"/>
      <c r="V59" s="186"/>
      <c r="W59" s="187"/>
      <c r="X59" s="186"/>
      <c r="Y59" s="187"/>
      <c r="Z59" s="186"/>
      <c r="AA59" s="187"/>
      <c r="AB59" s="186"/>
    </row>
    <row r="60" spans="1:29" x14ac:dyDescent="0.2">
      <c r="A60" s="441"/>
      <c r="B60" s="190" t="s">
        <v>194</v>
      </c>
      <c r="C60" s="191" t="s">
        <v>195</v>
      </c>
      <c r="D60" s="192">
        <f t="shared" si="10"/>
        <v>3500</v>
      </c>
      <c r="E60" s="183">
        <f t="shared" si="11"/>
        <v>523.09999999999991</v>
      </c>
      <c r="F60" s="194">
        <f t="shared" si="12"/>
        <v>2976.9</v>
      </c>
      <c r="G60" s="223">
        <v>3500</v>
      </c>
      <c r="H60" s="224">
        <v>2976.9</v>
      </c>
      <c r="I60" s="197"/>
      <c r="J60" s="196"/>
      <c r="K60" s="197"/>
      <c r="L60" s="196"/>
      <c r="M60" s="197"/>
      <c r="N60" s="196"/>
      <c r="O60" s="197"/>
      <c r="P60" s="196"/>
      <c r="Q60" s="197"/>
      <c r="R60" s="196"/>
      <c r="S60" s="197"/>
      <c r="T60" s="196"/>
      <c r="U60" s="197"/>
      <c r="V60" s="196"/>
      <c r="W60" s="197"/>
      <c r="X60" s="196"/>
      <c r="Y60" s="197"/>
      <c r="Z60" s="196"/>
      <c r="AA60" s="197"/>
      <c r="AB60" s="196"/>
    </row>
    <row r="61" spans="1:29" s="152" customFormat="1" ht="12.75" customHeight="1" x14ac:dyDescent="0.2">
      <c r="A61" s="441">
        <v>450</v>
      </c>
      <c r="B61" s="443" t="s">
        <v>196</v>
      </c>
      <c r="C61" s="443"/>
      <c r="D61" s="175">
        <f t="shared" si="10"/>
        <v>2821</v>
      </c>
      <c r="E61" s="176">
        <f t="shared" si="11"/>
        <v>1</v>
      </c>
      <c r="F61" s="177">
        <f t="shared" si="12"/>
        <v>2820</v>
      </c>
      <c r="G61" s="175">
        <f t="shared" ref="G61:AB61" si="16">SUM(G62:G63)</f>
        <v>2451</v>
      </c>
      <c r="H61" s="225">
        <f t="shared" si="16"/>
        <v>2451</v>
      </c>
      <c r="I61" s="178">
        <f t="shared" si="16"/>
        <v>0</v>
      </c>
      <c r="J61" s="178">
        <f t="shared" si="16"/>
        <v>0</v>
      </c>
      <c r="K61" s="179">
        <f t="shared" si="16"/>
        <v>0</v>
      </c>
      <c r="L61" s="178">
        <f t="shared" si="16"/>
        <v>0</v>
      </c>
      <c r="M61" s="226">
        <f t="shared" si="16"/>
        <v>0</v>
      </c>
      <c r="N61" s="178">
        <f t="shared" si="16"/>
        <v>0</v>
      </c>
      <c r="O61" s="179">
        <f t="shared" si="16"/>
        <v>0</v>
      </c>
      <c r="P61" s="178">
        <f t="shared" si="16"/>
        <v>0</v>
      </c>
      <c r="Q61" s="179">
        <f t="shared" si="16"/>
        <v>370</v>
      </c>
      <c r="R61" s="178">
        <f t="shared" si="16"/>
        <v>369</v>
      </c>
      <c r="S61" s="179">
        <f t="shared" si="16"/>
        <v>0</v>
      </c>
      <c r="T61" s="178">
        <f t="shared" si="16"/>
        <v>0</v>
      </c>
      <c r="U61" s="179">
        <f t="shared" si="16"/>
        <v>0</v>
      </c>
      <c r="V61" s="178">
        <f t="shared" si="16"/>
        <v>0</v>
      </c>
      <c r="W61" s="179">
        <f t="shared" si="16"/>
        <v>0</v>
      </c>
      <c r="X61" s="178">
        <f t="shared" si="16"/>
        <v>0</v>
      </c>
      <c r="Y61" s="179">
        <f t="shared" si="16"/>
        <v>0</v>
      </c>
      <c r="Z61" s="178">
        <f t="shared" si="16"/>
        <v>0</v>
      </c>
      <c r="AA61" s="179">
        <f t="shared" si="16"/>
        <v>0</v>
      </c>
      <c r="AB61" s="178">
        <f t="shared" si="16"/>
        <v>0</v>
      </c>
      <c r="AC61" s="155"/>
    </row>
    <row r="62" spans="1:29" x14ac:dyDescent="0.2">
      <c r="A62" s="441"/>
      <c r="B62" s="180" t="s">
        <v>197</v>
      </c>
      <c r="C62" s="181" t="s">
        <v>198</v>
      </c>
      <c r="D62" s="182">
        <v>2371</v>
      </c>
      <c r="E62" s="183">
        <f t="shared" si="11"/>
        <v>0</v>
      </c>
      <c r="F62" s="184">
        <f t="shared" si="12"/>
        <v>2371</v>
      </c>
      <c r="G62" s="187">
        <v>2371</v>
      </c>
      <c r="H62" s="186">
        <v>2371</v>
      </c>
      <c r="I62" s="185"/>
      <c r="J62" s="186"/>
      <c r="K62" s="187"/>
      <c r="L62" s="186"/>
      <c r="M62" s="187"/>
      <c r="N62" s="186"/>
      <c r="O62" s="187"/>
      <c r="P62" s="186"/>
      <c r="Q62" s="187"/>
      <c r="R62" s="186"/>
      <c r="S62" s="187"/>
      <c r="T62" s="186"/>
      <c r="U62" s="187"/>
      <c r="V62" s="186"/>
      <c r="W62" s="187"/>
      <c r="X62" s="186"/>
      <c r="Y62" s="187"/>
      <c r="Z62" s="186"/>
      <c r="AA62" s="187"/>
      <c r="AB62" s="186"/>
    </row>
    <row r="63" spans="1:29" x14ac:dyDescent="0.2">
      <c r="A63" s="441"/>
      <c r="B63" s="190" t="s">
        <v>199</v>
      </c>
      <c r="C63" s="191" t="s">
        <v>200</v>
      </c>
      <c r="D63" s="192">
        <f t="shared" ref="D63:D70" si="17">G63+I63+K63+M63+O63+Q63+S63+U63+W63+Y63+AA63</f>
        <v>450</v>
      </c>
      <c r="E63" s="193">
        <f t="shared" si="11"/>
        <v>1</v>
      </c>
      <c r="F63" s="194">
        <f t="shared" si="12"/>
        <v>449</v>
      </c>
      <c r="G63" s="197">
        <v>80</v>
      </c>
      <c r="H63" s="196">
        <v>80</v>
      </c>
      <c r="I63" s="195"/>
      <c r="J63" s="196"/>
      <c r="K63" s="197"/>
      <c r="L63" s="196"/>
      <c r="M63" s="197"/>
      <c r="N63" s="196"/>
      <c r="O63" s="197"/>
      <c r="P63" s="196"/>
      <c r="Q63" s="197">
        <v>370</v>
      </c>
      <c r="R63" s="196">
        <v>369</v>
      </c>
      <c r="S63" s="197"/>
      <c r="T63" s="196"/>
      <c r="U63" s="197"/>
      <c r="V63" s="196"/>
      <c r="W63" s="197"/>
      <c r="X63" s="196"/>
      <c r="Y63" s="197"/>
      <c r="Z63" s="196"/>
      <c r="AA63" s="197"/>
      <c r="AB63" s="196"/>
    </row>
    <row r="64" spans="1:29" s="152" customFormat="1" ht="12.75" customHeight="1" x14ac:dyDescent="0.2">
      <c r="A64" s="446">
        <v>460</v>
      </c>
      <c r="B64" s="443" t="s">
        <v>201</v>
      </c>
      <c r="C64" s="443"/>
      <c r="D64" s="175">
        <f t="shared" si="17"/>
        <v>11391</v>
      </c>
      <c r="E64" s="176">
        <f t="shared" si="11"/>
        <v>1.8000000000010914</v>
      </c>
      <c r="F64" s="177">
        <f t="shared" si="12"/>
        <v>11389.199999999999</v>
      </c>
      <c r="G64" s="227">
        <f t="shared" ref="G64:AB64" si="18">SUM(G65:G69)</f>
        <v>6724</v>
      </c>
      <c r="H64" s="227">
        <f t="shared" si="18"/>
        <v>6723.8</v>
      </c>
      <c r="I64" s="179">
        <f t="shared" si="18"/>
        <v>970</v>
      </c>
      <c r="J64" s="178">
        <f t="shared" si="18"/>
        <v>969</v>
      </c>
      <c r="K64" s="179">
        <f t="shared" si="18"/>
        <v>0</v>
      </c>
      <c r="L64" s="178">
        <f t="shared" si="18"/>
        <v>0</v>
      </c>
      <c r="M64" s="179">
        <f t="shared" si="18"/>
        <v>0</v>
      </c>
      <c r="N64" s="178">
        <f t="shared" si="18"/>
        <v>0</v>
      </c>
      <c r="O64" s="179">
        <f t="shared" si="18"/>
        <v>3250</v>
      </c>
      <c r="P64" s="178">
        <f t="shared" si="18"/>
        <v>3250</v>
      </c>
      <c r="Q64" s="179">
        <f t="shared" si="18"/>
        <v>0</v>
      </c>
      <c r="R64" s="178">
        <f t="shared" si="18"/>
        <v>0</v>
      </c>
      <c r="S64" s="179">
        <f t="shared" si="18"/>
        <v>300</v>
      </c>
      <c r="T64" s="178">
        <f t="shared" si="18"/>
        <v>300</v>
      </c>
      <c r="U64" s="179">
        <f t="shared" si="18"/>
        <v>147</v>
      </c>
      <c r="V64" s="178">
        <f t="shared" si="18"/>
        <v>146.4</v>
      </c>
      <c r="W64" s="179">
        <f t="shared" si="18"/>
        <v>0</v>
      </c>
      <c r="X64" s="178">
        <f t="shared" si="18"/>
        <v>0</v>
      </c>
      <c r="Y64" s="179">
        <f t="shared" si="18"/>
        <v>0</v>
      </c>
      <c r="Z64" s="178">
        <f t="shared" si="18"/>
        <v>0</v>
      </c>
      <c r="AA64" s="179">
        <f t="shared" si="18"/>
        <v>0</v>
      </c>
      <c r="AB64" s="178">
        <f t="shared" si="18"/>
        <v>0</v>
      </c>
      <c r="AC64" s="155"/>
    </row>
    <row r="65" spans="1:29" x14ac:dyDescent="0.2">
      <c r="A65" s="446"/>
      <c r="B65" s="180" t="s">
        <v>202</v>
      </c>
      <c r="C65" s="181" t="s">
        <v>203</v>
      </c>
      <c r="D65" s="182">
        <f t="shared" si="17"/>
        <v>6815</v>
      </c>
      <c r="E65" s="183">
        <f t="shared" si="11"/>
        <v>0.8000000000001819</v>
      </c>
      <c r="F65" s="184">
        <f t="shared" si="12"/>
        <v>6814.2</v>
      </c>
      <c r="G65" s="185">
        <v>6488</v>
      </c>
      <c r="H65" s="186">
        <v>6487.8</v>
      </c>
      <c r="I65" s="187"/>
      <c r="J65" s="186"/>
      <c r="K65" s="187"/>
      <c r="L65" s="186"/>
      <c r="M65" s="187"/>
      <c r="N65" s="186"/>
      <c r="O65" s="187"/>
      <c r="P65" s="186"/>
      <c r="Q65" s="187"/>
      <c r="R65" s="186"/>
      <c r="S65" s="187">
        <v>300</v>
      </c>
      <c r="T65" s="186">
        <v>300</v>
      </c>
      <c r="U65" s="187">
        <v>27</v>
      </c>
      <c r="V65" s="186">
        <v>26.4</v>
      </c>
      <c r="W65" s="187"/>
      <c r="X65" s="186"/>
      <c r="Y65" s="187"/>
      <c r="Z65" s="186"/>
      <c r="AA65" s="187"/>
      <c r="AB65" s="186"/>
    </row>
    <row r="66" spans="1:29" x14ac:dyDescent="0.2">
      <c r="A66" s="446"/>
      <c r="B66" s="180" t="s">
        <v>204</v>
      </c>
      <c r="C66" s="181" t="s">
        <v>205</v>
      </c>
      <c r="D66" s="182">
        <f t="shared" si="17"/>
        <v>0</v>
      </c>
      <c r="E66" s="183">
        <f t="shared" si="11"/>
        <v>0</v>
      </c>
      <c r="F66" s="184">
        <f t="shared" si="12"/>
        <v>0</v>
      </c>
      <c r="G66" s="185"/>
      <c r="H66" s="186"/>
      <c r="I66" s="187"/>
      <c r="J66" s="186"/>
      <c r="K66" s="187"/>
      <c r="L66" s="186"/>
      <c r="M66" s="187"/>
      <c r="N66" s="186"/>
      <c r="O66" s="187"/>
      <c r="P66" s="186"/>
      <c r="Q66" s="187"/>
      <c r="R66" s="186"/>
      <c r="S66" s="187"/>
      <c r="T66" s="186"/>
      <c r="U66" s="187"/>
      <c r="V66" s="186"/>
      <c r="W66" s="187"/>
      <c r="X66" s="186"/>
      <c r="Y66" s="187"/>
      <c r="Z66" s="186"/>
      <c r="AA66" s="187"/>
      <c r="AB66" s="186"/>
    </row>
    <row r="67" spans="1:29" x14ac:dyDescent="0.2">
      <c r="A67" s="446"/>
      <c r="B67" s="180" t="s">
        <v>206</v>
      </c>
      <c r="C67" s="181" t="s">
        <v>207</v>
      </c>
      <c r="D67" s="182">
        <f t="shared" si="17"/>
        <v>1181</v>
      </c>
      <c r="E67" s="183">
        <f t="shared" si="11"/>
        <v>1</v>
      </c>
      <c r="F67" s="184">
        <f t="shared" si="12"/>
        <v>1180</v>
      </c>
      <c r="G67" s="185">
        <v>211</v>
      </c>
      <c r="H67" s="186">
        <v>211</v>
      </c>
      <c r="I67" s="187">
        <v>970</v>
      </c>
      <c r="J67" s="186">
        <v>969</v>
      </c>
      <c r="K67" s="187"/>
      <c r="L67" s="186"/>
      <c r="M67" s="187"/>
      <c r="N67" s="186"/>
      <c r="O67" s="187"/>
      <c r="P67" s="186"/>
      <c r="Q67" s="187"/>
      <c r="R67" s="186"/>
      <c r="S67" s="187"/>
      <c r="T67" s="186"/>
      <c r="U67" s="187"/>
      <c r="V67" s="186"/>
      <c r="W67" s="187"/>
      <c r="X67" s="186"/>
      <c r="Y67" s="187"/>
      <c r="Z67" s="186"/>
      <c r="AA67" s="187"/>
      <c r="AB67" s="186"/>
    </row>
    <row r="68" spans="1:29" x14ac:dyDescent="0.2">
      <c r="A68" s="446"/>
      <c r="B68" s="180" t="s">
        <v>208</v>
      </c>
      <c r="C68" s="181" t="s">
        <v>201</v>
      </c>
      <c r="D68" s="182">
        <f t="shared" si="17"/>
        <v>3395</v>
      </c>
      <c r="E68" s="183">
        <f t="shared" si="11"/>
        <v>0</v>
      </c>
      <c r="F68" s="184">
        <f t="shared" si="12"/>
        <v>3395</v>
      </c>
      <c r="G68" s="185">
        <v>25</v>
      </c>
      <c r="H68" s="186">
        <v>25</v>
      </c>
      <c r="I68" s="187"/>
      <c r="J68" s="186"/>
      <c r="K68" s="187"/>
      <c r="L68" s="186"/>
      <c r="M68" s="187"/>
      <c r="N68" s="186"/>
      <c r="O68" s="187">
        <v>3250</v>
      </c>
      <c r="P68" s="186">
        <v>3250</v>
      </c>
      <c r="Q68" s="187"/>
      <c r="R68" s="186"/>
      <c r="S68" s="187"/>
      <c r="T68" s="186"/>
      <c r="U68" s="187">
        <v>120</v>
      </c>
      <c r="V68" s="186">
        <v>120</v>
      </c>
      <c r="W68" s="187"/>
      <c r="X68" s="186"/>
      <c r="Y68" s="187"/>
      <c r="Z68" s="186"/>
      <c r="AA68" s="187"/>
      <c r="AB68" s="186"/>
    </row>
    <row r="69" spans="1:29" x14ac:dyDescent="0.2">
      <c r="A69" s="446"/>
      <c r="B69" s="190" t="s">
        <v>209</v>
      </c>
      <c r="C69" s="191" t="s">
        <v>210</v>
      </c>
      <c r="D69" s="192">
        <f t="shared" si="17"/>
        <v>0</v>
      </c>
      <c r="E69" s="193">
        <f t="shared" si="11"/>
        <v>0</v>
      </c>
      <c r="F69" s="194">
        <f t="shared" si="12"/>
        <v>0</v>
      </c>
      <c r="G69" s="195"/>
      <c r="H69" s="196"/>
      <c r="I69" s="197"/>
      <c r="J69" s="196"/>
      <c r="K69" s="197"/>
      <c r="L69" s="196"/>
      <c r="M69" s="197"/>
      <c r="N69" s="196"/>
      <c r="O69" s="197"/>
      <c r="P69" s="196"/>
      <c r="Q69" s="197"/>
      <c r="R69" s="196"/>
      <c r="S69" s="197"/>
      <c r="T69" s="196"/>
      <c r="U69" s="197"/>
      <c r="V69" s="196"/>
      <c r="W69" s="197"/>
      <c r="X69" s="196"/>
      <c r="Y69" s="197"/>
      <c r="Z69" s="196"/>
      <c r="AA69" s="197"/>
      <c r="AB69" s="196"/>
    </row>
    <row r="70" spans="1:29" s="152" customFormat="1" x14ac:dyDescent="0.2">
      <c r="A70" s="218">
        <v>761</v>
      </c>
      <c r="B70" s="228">
        <v>761</v>
      </c>
      <c r="C70" s="229" t="s">
        <v>211</v>
      </c>
      <c r="D70" s="219">
        <f t="shared" si="17"/>
        <v>80</v>
      </c>
      <c r="E70" s="219">
        <f t="shared" si="11"/>
        <v>1</v>
      </c>
      <c r="F70" s="217">
        <f t="shared" si="12"/>
        <v>79</v>
      </c>
      <c r="G70" s="230">
        <v>80</v>
      </c>
      <c r="H70" s="231">
        <v>79</v>
      </c>
      <c r="I70" s="222"/>
      <c r="J70" s="231"/>
      <c r="K70" s="222"/>
      <c r="L70" s="231"/>
      <c r="M70" s="222"/>
      <c r="N70" s="231"/>
      <c r="O70" s="222"/>
      <c r="P70" s="231"/>
      <c r="Q70" s="222"/>
      <c r="R70" s="231"/>
      <c r="S70" s="222"/>
      <c r="T70" s="231"/>
      <c r="U70" s="222"/>
      <c r="V70" s="231"/>
      <c r="W70" s="222"/>
      <c r="X70" s="231"/>
      <c r="Y70" s="222"/>
      <c r="Z70" s="231"/>
      <c r="AA70" s="222"/>
      <c r="AB70" s="232"/>
      <c r="AC70" s="233"/>
    </row>
    <row r="71" spans="1:29" s="152" customFormat="1" ht="12.75" customHeight="1" x14ac:dyDescent="0.2">
      <c r="A71" s="447" t="s">
        <v>212</v>
      </c>
      <c r="B71" s="447"/>
      <c r="C71" s="447"/>
      <c r="D71" s="234">
        <f t="shared" ref="D71:AB71" si="19">D64+D61+D58+D53+D52+D48+D33+D30+D13+D7+D70</f>
        <v>688766</v>
      </c>
      <c r="E71" s="234">
        <f t="shared" si="19"/>
        <v>19371.71999999995</v>
      </c>
      <c r="F71" s="235">
        <f t="shared" si="19"/>
        <v>669394.28000000014</v>
      </c>
      <c r="G71" s="234">
        <f t="shared" si="19"/>
        <v>482184</v>
      </c>
      <c r="H71" s="234">
        <f t="shared" si="19"/>
        <v>472451.28</v>
      </c>
      <c r="I71" s="234">
        <f t="shared" si="19"/>
        <v>96482.07</v>
      </c>
      <c r="J71" s="234">
        <f t="shared" si="19"/>
        <v>86865.989999999991</v>
      </c>
      <c r="K71" s="234">
        <f t="shared" si="19"/>
        <v>28272</v>
      </c>
      <c r="L71" s="234">
        <f t="shared" si="19"/>
        <v>28266.97</v>
      </c>
      <c r="M71" s="234">
        <f t="shared" si="19"/>
        <v>1575</v>
      </c>
      <c r="N71" s="234">
        <f t="shared" si="19"/>
        <v>1573.96</v>
      </c>
      <c r="O71" s="234">
        <f t="shared" si="19"/>
        <v>6250</v>
      </c>
      <c r="P71" s="234">
        <f t="shared" si="19"/>
        <v>6248.87</v>
      </c>
      <c r="Q71" s="234">
        <f t="shared" si="19"/>
        <v>25086.93</v>
      </c>
      <c r="R71" s="234">
        <f t="shared" si="19"/>
        <v>25083.379999999997</v>
      </c>
      <c r="S71" s="234">
        <f t="shared" si="19"/>
        <v>5211</v>
      </c>
      <c r="T71" s="234">
        <f t="shared" si="19"/>
        <v>5209.3099999999995</v>
      </c>
      <c r="U71" s="234">
        <f t="shared" si="19"/>
        <v>28497</v>
      </c>
      <c r="V71" s="234">
        <f t="shared" si="19"/>
        <v>28488.86</v>
      </c>
      <c r="W71" s="234">
        <f t="shared" si="19"/>
        <v>782</v>
      </c>
      <c r="X71" s="234">
        <f t="shared" si="19"/>
        <v>781.91</v>
      </c>
      <c r="Y71" s="234">
        <f t="shared" si="19"/>
        <v>14426</v>
      </c>
      <c r="Z71" s="234">
        <f t="shared" si="19"/>
        <v>14423.75</v>
      </c>
      <c r="AA71" s="234">
        <f t="shared" si="19"/>
        <v>0</v>
      </c>
      <c r="AB71" s="234">
        <f t="shared" si="19"/>
        <v>0</v>
      </c>
      <c r="AC71" s="233"/>
    </row>
    <row r="72" spans="1:29" x14ac:dyDescent="0.2">
      <c r="C72" s="153" t="s">
        <v>213</v>
      </c>
      <c r="D72" s="155">
        <f>G71+I71+K71+M71+O71+Q71+S71+U71+W71+AA71+Y71</f>
        <v>688766.00000000012</v>
      </c>
      <c r="F72" s="155">
        <f>H71+J71+L71+N71+P71+R71+T71+V71+X71+Z71+AB71</f>
        <v>669394.28</v>
      </c>
    </row>
    <row r="73" spans="1:29" x14ac:dyDescent="0.2">
      <c r="D73" s="155">
        <f>'PRZYCHODY 2016'!F5</f>
        <v>668048.46</v>
      </c>
    </row>
    <row r="74" spans="1:29" x14ac:dyDescent="0.2">
      <c r="D74" s="155">
        <f>D72-D73</f>
        <v>20717.540000000154</v>
      </c>
    </row>
  </sheetData>
  <sheetProtection selectLockedCells="1" selectUnlockedCells="1"/>
  <mergeCells count="38">
    <mergeCell ref="A64:A69"/>
    <mergeCell ref="B64:C64"/>
    <mergeCell ref="A71:C71"/>
    <mergeCell ref="B52:C52"/>
    <mergeCell ref="A53:A57"/>
    <mergeCell ref="B53:C53"/>
    <mergeCell ref="A58:A60"/>
    <mergeCell ref="B58:C58"/>
    <mergeCell ref="A61:A63"/>
    <mergeCell ref="B61:C61"/>
    <mergeCell ref="A30:A32"/>
    <mergeCell ref="B30:C30"/>
    <mergeCell ref="A33:A47"/>
    <mergeCell ref="B33:C33"/>
    <mergeCell ref="A48:A51"/>
    <mergeCell ref="B48:C48"/>
    <mergeCell ref="Y5:Z5"/>
    <mergeCell ref="AA5:AB5"/>
    <mergeCell ref="A7:A12"/>
    <mergeCell ref="B7:C7"/>
    <mergeCell ref="A13:A29"/>
    <mergeCell ref="B13:C13"/>
    <mergeCell ref="I4:J5"/>
    <mergeCell ref="K4:R4"/>
    <mergeCell ref="S4:AB4"/>
    <mergeCell ref="K5:L5"/>
    <mergeCell ref="M5:N5"/>
    <mergeCell ref="O5:P5"/>
    <mergeCell ref="Q5:R5"/>
    <mergeCell ref="S5:T5"/>
    <mergeCell ref="U5:V5"/>
    <mergeCell ref="W5:X5"/>
    <mergeCell ref="G4:H5"/>
    <mergeCell ref="A1:F1"/>
    <mergeCell ref="A2:A6"/>
    <mergeCell ref="B2:B6"/>
    <mergeCell ref="C2:C6"/>
    <mergeCell ref="D3:F5"/>
  </mergeCells>
  <printOptions horizontalCentered="1" verticalCentered="1"/>
  <pageMargins left="0.25" right="0.25" top="0.75" bottom="0.75" header="0.51180555555555551" footer="0.51180555555555551"/>
  <pageSetup paperSize="9" firstPageNumber="0" fitToWidth="3" pageOrder="overThenDown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2"/>
  <sheetViews>
    <sheetView topLeftCell="A14" zoomScale="75" zoomScaleNormal="75" zoomScaleSheetLayoutView="70" workbookViewId="0">
      <selection activeCell="L45" sqref="L45"/>
    </sheetView>
  </sheetViews>
  <sheetFormatPr defaultColWidth="8.7109375" defaultRowHeight="15" x14ac:dyDescent="0.25"/>
  <cols>
    <col min="1" max="1" width="31.140625" style="236" customWidth="1"/>
    <col min="2" max="2" width="13.5703125" style="236" customWidth="1"/>
    <col min="3" max="3" width="14.85546875" style="236" customWidth="1"/>
    <col min="4" max="4" width="13.5703125" style="236" customWidth="1"/>
    <col min="5" max="5" width="15.5703125" style="237" customWidth="1"/>
    <col min="6" max="6" width="15.42578125" style="236" customWidth="1"/>
    <col min="7" max="7" width="16" style="236" customWidth="1"/>
    <col min="8" max="8" width="16.7109375" style="236" customWidth="1"/>
    <col min="9" max="9" width="13.5703125" style="236" customWidth="1"/>
    <col min="10" max="10" width="14.85546875" style="236" customWidth="1"/>
    <col min="11" max="11" width="15.28515625" style="238" customWidth="1"/>
    <col min="12" max="12" width="13.42578125" style="236" customWidth="1"/>
    <col min="13" max="13" width="16.28515625" style="236" customWidth="1"/>
    <col min="14" max="14" width="12.85546875" style="236" customWidth="1"/>
    <col min="15" max="15" width="14.42578125" style="236" customWidth="1"/>
    <col min="16" max="16" width="17" style="236" customWidth="1"/>
    <col min="17" max="17" width="13" style="236" customWidth="1"/>
    <col min="18" max="18" width="8.7109375" style="236"/>
    <col min="19" max="19" width="15.42578125" style="236" customWidth="1"/>
    <col min="20" max="247" width="8.7109375" style="236"/>
    <col min="248" max="16384" width="8.7109375" style="239"/>
  </cols>
  <sheetData>
    <row r="1" spans="1:256" s="240" customFormat="1" ht="12.75" customHeight="1" x14ac:dyDescent="0.25">
      <c r="A1" s="451" t="s">
        <v>0</v>
      </c>
      <c r="B1" s="451"/>
      <c r="C1" s="451"/>
      <c r="D1" s="451"/>
      <c r="E1" s="451"/>
      <c r="F1" s="451"/>
      <c r="G1" s="451"/>
      <c r="H1" s="451"/>
      <c r="I1" s="451"/>
      <c r="J1" s="451"/>
      <c r="ID1" s="241"/>
      <c r="IE1" s="241"/>
      <c r="IF1" s="241"/>
      <c r="IG1" s="241"/>
      <c r="IH1" s="241"/>
      <c r="II1" s="241"/>
      <c r="IJ1" s="241"/>
      <c r="IK1" s="241"/>
      <c r="IL1" s="241"/>
      <c r="IM1" s="241"/>
      <c r="IN1" s="241"/>
      <c r="IO1" s="241"/>
      <c r="IP1" s="241"/>
      <c r="IQ1" s="241"/>
      <c r="IR1" s="241"/>
      <c r="IS1" s="241"/>
      <c r="IT1" s="241"/>
      <c r="IU1" s="241"/>
      <c r="IV1" s="241"/>
    </row>
    <row r="2" spans="1:256" s="240" customFormat="1" ht="30" x14ac:dyDescent="0.2">
      <c r="A2" s="242" t="s">
        <v>1</v>
      </c>
      <c r="B2" s="243" t="s">
        <v>2</v>
      </c>
      <c r="C2" s="244" t="s">
        <v>3</v>
      </c>
      <c r="D2" s="244" t="s">
        <v>4</v>
      </c>
      <c r="E2" s="245" t="s">
        <v>5</v>
      </c>
      <c r="F2" s="245" t="s">
        <v>6</v>
      </c>
      <c r="G2" s="245" t="s">
        <v>7</v>
      </c>
      <c r="H2" s="246" t="s">
        <v>8</v>
      </c>
      <c r="I2" s="247" t="s">
        <v>9</v>
      </c>
      <c r="J2" s="247" t="s">
        <v>10</v>
      </c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</row>
    <row r="3" spans="1:256" s="255" customFormat="1" ht="12.75" x14ac:dyDescent="0.2">
      <c r="A3" s="249"/>
      <c r="B3" s="250">
        <v>1</v>
      </c>
      <c r="C3" s="251">
        <v>2</v>
      </c>
      <c r="D3" s="251">
        <v>3</v>
      </c>
      <c r="E3" s="252">
        <v>5</v>
      </c>
      <c r="F3" s="252">
        <v>6</v>
      </c>
      <c r="G3" s="252">
        <v>7</v>
      </c>
      <c r="H3" s="253" t="s">
        <v>11</v>
      </c>
      <c r="I3" s="254">
        <v>9</v>
      </c>
      <c r="J3" s="254">
        <v>10</v>
      </c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</row>
    <row r="4" spans="1:256" x14ac:dyDescent="0.25">
      <c r="A4" s="256" t="s">
        <v>12</v>
      </c>
      <c r="B4" s="257">
        <f>3800*12</f>
        <v>45600</v>
      </c>
      <c r="C4" s="258">
        <f>760*12</f>
        <v>9120</v>
      </c>
      <c r="D4" s="258">
        <f>1300*12</f>
        <v>15600</v>
      </c>
      <c r="E4" s="258">
        <v>4185.3999999999996</v>
      </c>
      <c r="F4" s="258">
        <v>2500</v>
      </c>
      <c r="G4" s="258"/>
      <c r="H4" s="259">
        <f t="shared" ref="H4:H12" si="0">SUM(B4:G4)</f>
        <v>77005.399999999994</v>
      </c>
      <c r="I4" s="260">
        <f t="shared" ref="I4:I12" si="1">H4*0.1806</f>
        <v>13907.17524</v>
      </c>
      <c r="J4" s="260">
        <f t="shared" ref="J4:J12" si="2">H4*0.0245</f>
        <v>1886.6323</v>
      </c>
      <c r="K4" s="236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IH4" s="239"/>
      <c r="II4" s="239"/>
      <c r="IJ4" s="239"/>
      <c r="IK4" s="239"/>
      <c r="IL4" s="239"/>
      <c r="IM4" s="239"/>
    </row>
    <row r="5" spans="1:256" x14ac:dyDescent="0.25">
      <c r="A5" s="261" t="s">
        <v>13</v>
      </c>
      <c r="B5" s="262">
        <f>1651.13*12</f>
        <v>19813.560000000001</v>
      </c>
      <c r="C5" s="263">
        <f>330.23*12</f>
        <v>3962.76</v>
      </c>
      <c r="D5" s="263">
        <f>705*12</f>
        <v>8460</v>
      </c>
      <c r="E5" s="263">
        <v>2873.24</v>
      </c>
      <c r="F5" s="263">
        <v>1500</v>
      </c>
      <c r="G5" s="263"/>
      <c r="H5" s="264">
        <f t="shared" si="0"/>
        <v>36609.56</v>
      </c>
      <c r="I5" s="265">
        <f t="shared" si="1"/>
        <v>6611.6865360000002</v>
      </c>
      <c r="J5" s="265">
        <f t="shared" si="2"/>
        <v>896.93421999999998</v>
      </c>
      <c r="K5" s="236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IH5" s="239"/>
      <c r="II5" s="239"/>
      <c r="IJ5" s="239"/>
      <c r="IK5" s="239"/>
      <c r="IL5" s="239"/>
      <c r="IM5" s="239"/>
    </row>
    <row r="6" spans="1:256" x14ac:dyDescent="0.25">
      <c r="A6" s="261" t="s">
        <v>14</v>
      </c>
      <c r="B6" s="262">
        <f>1850*4</f>
        <v>7400</v>
      </c>
      <c r="C6" s="263">
        <v>0</v>
      </c>
      <c r="D6" s="263"/>
      <c r="E6" s="263">
        <v>0</v>
      </c>
      <c r="F6" s="263">
        <v>0</v>
      </c>
      <c r="G6" s="263"/>
      <c r="H6" s="264">
        <f t="shared" si="0"/>
        <v>7400</v>
      </c>
      <c r="I6" s="265">
        <f t="shared" si="1"/>
        <v>1336.44</v>
      </c>
      <c r="J6" s="265">
        <f t="shared" si="2"/>
        <v>181.3</v>
      </c>
      <c r="K6" s="236"/>
      <c r="L6" s="248"/>
      <c r="M6" s="248"/>
      <c r="N6" s="248"/>
      <c r="O6" s="248"/>
      <c r="P6" s="248"/>
      <c r="Q6" s="248"/>
      <c r="R6" s="248"/>
      <c r="S6" s="248"/>
      <c r="T6" s="248"/>
      <c r="U6" s="248"/>
      <c r="V6" s="248"/>
      <c r="W6" s="248"/>
      <c r="X6" s="248"/>
      <c r="IH6" s="239"/>
      <c r="II6" s="239"/>
      <c r="IJ6" s="239"/>
      <c r="IK6" s="239"/>
      <c r="IL6" s="239"/>
      <c r="IM6" s="239"/>
    </row>
    <row r="7" spans="1:256" x14ac:dyDescent="0.25">
      <c r="A7" s="266" t="s">
        <v>15</v>
      </c>
      <c r="B7" s="262">
        <v>2425.16</v>
      </c>
      <c r="C7" s="263"/>
      <c r="D7" s="263"/>
      <c r="E7" s="263"/>
      <c r="F7" s="263"/>
      <c r="G7" s="263"/>
      <c r="H7" s="264">
        <f t="shared" si="0"/>
        <v>2425.16</v>
      </c>
      <c r="I7" s="265">
        <f t="shared" si="1"/>
        <v>437.98389600000002</v>
      </c>
      <c r="J7" s="265">
        <f t="shared" si="2"/>
        <v>59.416420000000002</v>
      </c>
      <c r="K7" s="236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8"/>
      <c r="IH7" s="239"/>
      <c r="II7" s="239"/>
      <c r="IJ7" s="239"/>
      <c r="IK7" s="239"/>
      <c r="IL7" s="239"/>
      <c r="IM7" s="239"/>
    </row>
    <row r="8" spans="1:256" x14ac:dyDescent="0.25">
      <c r="A8" s="261" t="s">
        <v>16</v>
      </c>
      <c r="B8" s="262">
        <f>2050*12</f>
        <v>24600</v>
      </c>
      <c r="C8" s="263">
        <f>410*12</f>
        <v>4920</v>
      </c>
      <c r="D8" s="263"/>
      <c r="E8" s="263">
        <v>2883.25</v>
      </c>
      <c r="F8" s="263">
        <v>1500</v>
      </c>
      <c r="G8" s="263"/>
      <c r="H8" s="264">
        <f t="shared" si="0"/>
        <v>33903.25</v>
      </c>
      <c r="I8" s="265">
        <f t="shared" si="1"/>
        <v>6122.92695</v>
      </c>
      <c r="J8" s="265">
        <f t="shared" si="2"/>
        <v>830.62962500000003</v>
      </c>
      <c r="K8" s="236"/>
      <c r="L8" s="248"/>
      <c r="M8" s="248"/>
      <c r="N8" s="248"/>
      <c r="O8" s="248"/>
      <c r="P8" s="248"/>
      <c r="Q8" s="248"/>
      <c r="R8" s="248"/>
      <c r="S8" s="248"/>
      <c r="T8" s="248"/>
      <c r="U8" s="248"/>
      <c r="V8" s="248"/>
      <c r="W8" s="248"/>
      <c r="X8" s="248"/>
      <c r="IH8" s="239"/>
      <c r="II8" s="239"/>
      <c r="IJ8" s="239"/>
      <c r="IK8" s="239"/>
      <c r="IL8" s="239"/>
      <c r="IM8" s="239"/>
    </row>
    <row r="9" spans="1:256" x14ac:dyDescent="0.25">
      <c r="A9" s="261" t="s">
        <v>17</v>
      </c>
      <c r="B9" s="262">
        <f>1064*12</f>
        <v>12768</v>
      </c>
      <c r="C9" s="263">
        <f>212.8*12</f>
        <v>2553.6000000000004</v>
      </c>
      <c r="D9" s="263"/>
      <c r="E9" s="263">
        <v>2819.36</v>
      </c>
      <c r="F9" s="263">
        <v>1000</v>
      </c>
      <c r="G9" s="263"/>
      <c r="H9" s="264">
        <f t="shared" si="0"/>
        <v>19140.96</v>
      </c>
      <c r="I9" s="265">
        <f t="shared" si="1"/>
        <v>3456.8573759999999</v>
      </c>
      <c r="J9" s="265">
        <f t="shared" si="2"/>
        <v>468.95351999999997</v>
      </c>
      <c r="K9" s="236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48"/>
      <c r="X9" s="248"/>
      <c r="IH9" s="239"/>
      <c r="II9" s="239"/>
      <c r="IJ9" s="239"/>
      <c r="IK9" s="239"/>
      <c r="IL9" s="239"/>
      <c r="IM9" s="239"/>
    </row>
    <row r="10" spans="1:256" x14ac:dyDescent="0.25">
      <c r="A10" s="261" t="s">
        <v>18</v>
      </c>
      <c r="B10" s="262">
        <f>1518+1650*11</f>
        <v>19668</v>
      </c>
      <c r="C10" s="263">
        <f>303.77+330*11</f>
        <v>3933.77</v>
      </c>
      <c r="D10" s="263"/>
      <c r="E10" s="263">
        <v>2082.0100000000002</v>
      </c>
      <c r="F10" s="263">
        <v>1500</v>
      </c>
      <c r="G10" s="263"/>
      <c r="H10" s="264">
        <f t="shared" si="0"/>
        <v>27183.78</v>
      </c>
      <c r="I10" s="265">
        <f t="shared" si="1"/>
        <v>4909.390668</v>
      </c>
      <c r="J10" s="265">
        <f t="shared" si="2"/>
        <v>666.00261</v>
      </c>
      <c r="K10" s="236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8"/>
      <c r="X10" s="248"/>
      <c r="IH10" s="239"/>
      <c r="II10" s="239"/>
      <c r="IJ10" s="239"/>
      <c r="IK10" s="239"/>
      <c r="IL10" s="239"/>
      <c r="IM10" s="239"/>
    </row>
    <row r="11" spans="1:256" x14ac:dyDescent="0.25">
      <c r="A11" s="267" t="s">
        <v>214</v>
      </c>
      <c r="B11" s="268">
        <f>1350*2</f>
        <v>2700</v>
      </c>
      <c r="C11" s="269">
        <f>94.5*2</f>
        <v>189</v>
      </c>
      <c r="D11" s="269"/>
      <c r="E11" s="269"/>
      <c r="F11" s="269"/>
      <c r="G11" s="269"/>
      <c r="H11" s="264">
        <f t="shared" si="0"/>
        <v>2889</v>
      </c>
      <c r="I11" s="265">
        <f t="shared" si="1"/>
        <v>521.75340000000006</v>
      </c>
      <c r="J11" s="265">
        <f t="shared" si="2"/>
        <v>70.780500000000004</v>
      </c>
      <c r="K11" s="236"/>
      <c r="L11" s="248"/>
      <c r="M11" s="248"/>
      <c r="N11" s="248"/>
      <c r="O11" s="248"/>
      <c r="P11" s="248"/>
      <c r="Q11" s="248"/>
      <c r="R11" s="248"/>
      <c r="S11" s="248"/>
      <c r="T11" s="248"/>
      <c r="U11" s="248"/>
      <c r="V11" s="248"/>
      <c r="W11" s="248"/>
      <c r="X11" s="248"/>
      <c r="IH11" s="239"/>
      <c r="II11" s="239"/>
      <c r="IJ11" s="239"/>
      <c r="IK11" s="239"/>
      <c r="IL11" s="239"/>
      <c r="IM11" s="239"/>
    </row>
    <row r="12" spans="1:256" x14ac:dyDescent="0.25">
      <c r="A12" s="267" t="s">
        <v>19</v>
      </c>
      <c r="B12" s="270">
        <f>2902*12</f>
        <v>34824</v>
      </c>
      <c r="C12" s="271">
        <f>580.4*12</f>
        <v>6964.7999999999993</v>
      </c>
      <c r="D12" s="271"/>
      <c r="E12" s="271">
        <v>3724.09</v>
      </c>
      <c r="F12" s="271">
        <v>2000</v>
      </c>
      <c r="G12" s="271"/>
      <c r="H12" s="272">
        <f t="shared" si="0"/>
        <v>47512.89</v>
      </c>
      <c r="I12" s="273">
        <f t="shared" si="1"/>
        <v>8580.8279340000008</v>
      </c>
      <c r="J12" s="273">
        <f t="shared" si="2"/>
        <v>1164.065805</v>
      </c>
      <c r="K12" s="236"/>
      <c r="L12" s="248"/>
      <c r="M12" s="248"/>
      <c r="N12" s="248"/>
      <c r="O12" s="248"/>
      <c r="P12" s="248"/>
      <c r="Q12" s="248"/>
      <c r="R12" s="248"/>
      <c r="S12" s="248"/>
      <c r="T12" s="248"/>
      <c r="U12" s="248"/>
      <c r="V12" s="248"/>
      <c r="W12" s="248"/>
      <c r="X12" s="248"/>
      <c r="IH12" s="239"/>
      <c r="II12" s="239"/>
      <c r="IJ12" s="239"/>
      <c r="IK12" s="239"/>
      <c r="IL12" s="239"/>
      <c r="IM12" s="239"/>
    </row>
    <row r="13" spans="1:256" s="279" customFormat="1" x14ac:dyDescent="0.2">
      <c r="A13" s="274" t="s">
        <v>8</v>
      </c>
      <c r="B13" s="275">
        <f t="shared" ref="B13:J13" si="3">SUM(B4:B12)</f>
        <v>169798.72</v>
      </c>
      <c r="C13" s="276">
        <f t="shared" si="3"/>
        <v>31643.93</v>
      </c>
      <c r="D13" s="276">
        <f t="shared" si="3"/>
        <v>24060</v>
      </c>
      <c r="E13" s="276">
        <f t="shared" si="3"/>
        <v>18567.349999999999</v>
      </c>
      <c r="F13" s="276">
        <f t="shared" si="3"/>
        <v>10000</v>
      </c>
      <c r="G13" s="276">
        <f t="shared" si="3"/>
        <v>0</v>
      </c>
      <c r="H13" s="277">
        <f t="shared" si="3"/>
        <v>254070</v>
      </c>
      <c r="I13" s="278">
        <f t="shared" si="3"/>
        <v>45885.042000000001</v>
      </c>
      <c r="J13" s="278">
        <f t="shared" si="3"/>
        <v>6224.7149999999992</v>
      </c>
      <c r="L13" s="248"/>
      <c r="M13" s="248"/>
      <c r="N13" s="248"/>
      <c r="O13" s="248"/>
      <c r="P13" s="248"/>
      <c r="Q13" s="248"/>
      <c r="R13" s="248"/>
      <c r="S13" s="248"/>
      <c r="T13" s="248"/>
      <c r="U13" s="248"/>
      <c r="V13" s="248"/>
      <c r="W13" s="248"/>
      <c r="X13" s="248"/>
    </row>
    <row r="14" spans="1:256" x14ac:dyDescent="0.25"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8"/>
      <c r="X14" s="248"/>
    </row>
    <row r="15" spans="1:256" s="280" customFormat="1" ht="11.45" customHeight="1" x14ac:dyDescent="0.2">
      <c r="A15" s="248"/>
      <c r="B15" s="248"/>
      <c r="C15" s="248"/>
      <c r="D15" s="248"/>
      <c r="E15" s="248"/>
      <c r="F15" s="248"/>
      <c r="G15" s="248"/>
      <c r="H15" s="248"/>
      <c r="I15" s="248"/>
      <c r="J15" s="248"/>
      <c r="K15" s="248"/>
      <c r="L15" s="248"/>
      <c r="M15" s="248"/>
      <c r="N15" s="248"/>
      <c r="O15" s="248"/>
      <c r="P15" s="248"/>
      <c r="Q15" s="248"/>
      <c r="R15" s="248"/>
      <c r="S15" s="248"/>
      <c r="T15" s="248"/>
      <c r="U15" s="248"/>
      <c r="V15" s="248"/>
      <c r="W15" s="248"/>
      <c r="X15" s="248"/>
    </row>
    <row r="16" spans="1:256" s="279" customFormat="1" ht="15" customHeight="1" x14ac:dyDescent="0.25">
      <c r="A16" s="281"/>
      <c r="B16" s="452" t="s">
        <v>215</v>
      </c>
      <c r="C16" s="452"/>
      <c r="D16" s="452"/>
      <c r="E16" s="452"/>
      <c r="F16" s="452"/>
      <c r="G16" s="452"/>
      <c r="H16" s="452"/>
      <c r="I16" s="452"/>
      <c r="J16" s="452"/>
      <c r="K16" s="453" t="s">
        <v>27</v>
      </c>
      <c r="L16" s="453"/>
      <c r="M16" s="248"/>
      <c r="N16" s="248"/>
      <c r="O16" s="248"/>
      <c r="P16" s="248"/>
      <c r="Q16" s="248"/>
      <c r="R16" s="248"/>
      <c r="S16" s="248"/>
      <c r="IH16" s="281"/>
      <c r="II16" s="281"/>
      <c r="IJ16" s="281"/>
      <c r="IK16" s="281"/>
      <c r="IL16" s="281"/>
      <c r="IM16" s="281"/>
      <c r="IN16" s="281"/>
      <c r="IO16" s="281"/>
      <c r="IP16" s="281"/>
      <c r="IQ16" s="281"/>
      <c r="IR16" s="281"/>
      <c r="IS16" s="281"/>
      <c r="IT16" s="281"/>
      <c r="IU16" s="281"/>
      <c r="IV16" s="281"/>
    </row>
    <row r="17" spans="1:256" s="279" customFormat="1" ht="30" x14ac:dyDescent="0.25">
      <c r="A17" s="282" t="s">
        <v>1</v>
      </c>
      <c r="B17" s="283" t="s">
        <v>2</v>
      </c>
      <c r="C17" s="244" t="s">
        <v>3</v>
      </c>
      <c r="D17" s="244" t="s">
        <v>4</v>
      </c>
      <c r="E17" s="244" t="s">
        <v>22</v>
      </c>
      <c r="F17" s="244" t="s">
        <v>23</v>
      </c>
      <c r="G17" s="245" t="s">
        <v>5</v>
      </c>
      <c r="H17" s="245" t="s">
        <v>6</v>
      </c>
      <c r="I17" s="245" t="s">
        <v>7</v>
      </c>
      <c r="J17" s="246" t="s">
        <v>8</v>
      </c>
      <c r="K17" s="247" t="s">
        <v>9</v>
      </c>
      <c r="L17" s="247" t="s">
        <v>10</v>
      </c>
      <c r="M17" s="248"/>
      <c r="N17" s="248"/>
      <c r="O17" s="248"/>
      <c r="P17" s="248"/>
      <c r="Q17" s="248"/>
      <c r="R17" s="248"/>
      <c r="S17" s="248"/>
      <c r="IH17" s="281"/>
      <c r="II17" s="281"/>
      <c r="IJ17" s="281"/>
      <c r="IK17" s="281"/>
      <c r="IL17" s="281"/>
      <c r="IM17" s="281"/>
      <c r="IN17" s="281"/>
      <c r="IO17" s="281"/>
      <c r="IP17" s="281"/>
      <c r="IQ17" s="281"/>
      <c r="IR17" s="281"/>
      <c r="IS17" s="281"/>
      <c r="IT17" s="281"/>
      <c r="IU17" s="281"/>
      <c r="IV17" s="281"/>
    </row>
    <row r="18" spans="1:256" s="237" customFormat="1" x14ac:dyDescent="0.25">
      <c r="A18" s="284">
        <v>1</v>
      </c>
      <c r="B18" s="285">
        <v>2</v>
      </c>
      <c r="C18" s="251">
        <v>3</v>
      </c>
      <c r="D18" s="251">
        <v>4</v>
      </c>
      <c r="E18" s="251">
        <v>5</v>
      </c>
      <c r="F18" s="251">
        <v>6</v>
      </c>
      <c r="G18" s="251">
        <v>7</v>
      </c>
      <c r="H18" s="251">
        <v>8</v>
      </c>
      <c r="I18" s="251">
        <v>9</v>
      </c>
      <c r="J18" s="286">
        <v>10</v>
      </c>
      <c r="K18" s="254">
        <v>12</v>
      </c>
      <c r="L18" s="254">
        <v>13</v>
      </c>
      <c r="M18" s="248"/>
      <c r="N18" s="248"/>
      <c r="O18" s="248"/>
      <c r="P18" s="248"/>
      <c r="Q18" s="248"/>
      <c r="R18" s="248"/>
      <c r="S18" s="248"/>
      <c r="IH18" s="287"/>
      <c r="II18" s="287"/>
      <c r="IJ18" s="287"/>
      <c r="IK18" s="287"/>
      <c r="IL18" s="287"/>
      <c r="IM18" s="287"/>
      <c r="IN18" s="287"/>
      <c r="IO18" s="287"/>
      <c r="IP18" s="287"/>
      <c r="IQ18" s="287"/>
      <c r="IR18" s="287"/>
      <c r="IS18" s="287"/>
      <c r="IT18" s="287"/>
      <c r="IU18" s="287"/>
      <c r="IV18" s="287"/>
    </row>
    <row r="19" spans="1:256" x14ac:dyDescent="0.25">
      <c r="A19" s="288" t="s">
        <v>12</v>
      </c>
      <c r="B19" s="289">
        <v>41293.33</v>
      </c>
      <c r="C19" s="258">
        <v>8360</v>
      </c>
      <c r="D19" s="258">
        <v>14126.67</v>
      </c>
      <c r="E19" s="258">
        <v>507.92</v>
      </c>
      <c r="F19" s="258"/>
      <c r="G19" s="258">
        <v>3964.4</v>
      </c>
      <c r="H19" s="258">
        <v>500</v>
      </c>
      <c r="I19" s="258"/>
      <c r="J19" s="259">
        <f>SUM(B19:I19)</f>
        <v>68752.319999999992</v>
      </c>
      <c r="K19" s="257">
        <f>6650.79+4429.3+1226.58</f>
        <v>12306.67</v>
      </c>
      <c r="L19" s="259">
        <v>0</v>
      </c>
      <c r="M19" s="248"/>
      <c r="N19" s="248"/>
      <c r="O19" s="248"/>
      <c r="P19" s="248"/>
      <c r="Q19" s="248"/>
      <c r="R19" s="248"/>
      <c r="S19" s="248"/>
      <c r="IH19" s="239"/>
      <c r="II19" s="239"/>
      <c r="IJ19" s="239"/>
      <c r="IK19" s="239"/>
      <c r="IL19" s="239"/>
      <c r="IM19" s="239"/>
    </row>
    <row r="20" spans="1:256" x14ac:dyDescent="0.25">
      <c r="A20" s="261" t="s">
        <v>13</v>
      </c>
      <c r="B20" s="290">
        <v>18162.43</v>
      </c>
      <c r="C20" s="263">
        <v>3632.53</v>
      </c>
      <c r="D20" s="263">
        <v>7755</v>
      </c>
      <c r="E20" s="263"/>
      <c r="F20" s="263"/>
      <c r="G20" s="263">
        <v>2626.6</v>
      </c>
      <c r="H20" s="263">
        <v>1250</v>
      </c>
      <c r="I20" s="263"/>
      <c r="J20" s="264">
        <f>SUM(B20:I20)</f>
        <v>33426.559999999998</v>
      </c>
      <c r="K20" s="262">
        <f>3262.43+2172.69+601.63</f>
        <v>6036.75</v>
      </c>
      <c r="L20" s="264">
        <v>818.99</v>
      </c>
      <c r="M20" s="248"/>
      <c r="N20" s="248"/>
      <c r="O20" s="248"/>
      <c r="P20" s="248"/>
      <c r="Q20" s="248"/>
      <c r="R20" s="248"/>
      <c r="S20" s="248"/>
      <c r="IH20" s="239"/>
      <c r="II20" s="239"/>
      <c r="IJ20" s="239"/>
      <c r="IK20" s="239"/>
      <c r="IL20" s="239"/>
      <c r="IM20" s="239"/>
    </row>
    <row r="21" spans="1:256" x14ac:dyDescent="0.25">
      <c r="A21" s="261" t="s">
        <v>14</v>
      </c>
      <c r="B21" s="290">
        <v>5241.67</v>
      </c>
      <c r="C21" s="263"/>
      <c r="D21" s="263"/>
      <c r="E21" s="263">
        <v>212.85</v>
      </c>
      <c r="F21" s="263"/>
      <c r="G21" s="263"/>
      <c r="H21" s="263"/>
      <c r="I21" s="263"/>
      <c r="J21" s="264">
        <f>SUM(B21:I21)</f>
        <v>5454.52</v>
      </c>
      <c r="K21" s="262">
        <f>511.59+340.71+94.35</f>
        <v>946.65</v>
      </c>
      <c r="L21" s="264">
        <v>128.43</v>
      </c>
      <c r="M21" s="248"/>
      <c r="N21" s="248"/>
      <c r="O21" s="248"/>
      <c r="P21" s="248"/>
      <c r="Q21" s="248"/>
      <c r="R21" s="248"/>
      <c r="S21" s="248"/>
      <c r="IH21" s="239"/>
      <c r="II21" s="239"/>
      <c r="IJ21" s="239"/>
      <c r="IK21" s="239"/>
      <c r="IL21" s="239"/>
      <c r="IM21" s="239"/>
    </row>
    <row r="22" spans="1:256" x14ac:dyDescent="0.25">
      <c r="A22" s="261" t="s">
        <v>16</v>
      </c>
      <c r="B22" s="290">
        <v>19816.669999999998</v>
      </c>
      <c r="C22" s="263">
        <v>4100</v>
      </c>
      <c r="D22" s="263"/>
      <c r="E22" s="263">
        <v>1314.48</v>
      </c>
      <c r="F22" s="263"/>
      <c r="G22" s="263">
        <v>2495.6</v>
      </c>
      <c r="H22" s="263">
        <v>1000</v>
      </c>
      <c r="I22" s="263"/>
      <c r="J22" s="264">
        <f>SUM(B22:I22)</f>
        <v>28726.749999999996</v>
      </c>
      <c r="K22" s="262">
        <f>2662.13+1772.91+490.96</f>
        <v>4926</v>
      </c>
      <c r="L22" s="264">
        <v>668.25</v>
      </c>
      <c r="M22" s="248"/>
      <c r="N22" s="248"/>
      <c r="O22" s="248"/>
      <c r="P22" s="248"/>
      <c r="Q22" s="248"/>
      <c r="R22" s="248"/>
      <c r="S22" s="248"/>
      <c r="IH22" s="239"/>
      <c r="II22" s="239"/>
      <c r="IJ22" s="239"/>
      <c r="IK22" s="239"/>
      <c r="IL22" s="239"/>
      <c r="IM22" s="239"/>
    </row>
    <row r="23" spans="1:256" x14ac:dyDescent="0.25">
      <c r="A23" s="261" t="s">
        <v>17</v>
      </c>
      <c r="B23" s="290">
        <v>11704</v>
      </c>
      <c r="C23" s="263">
        <v>2340.8000000000002</v>
      </c>
      <c r="D23" s="263"/>
      <c r="E23" s="263"/>
      <c r="F23" s="263"/>
      <c r="G23" s="263">
        <v>2443.9</v>
      </c>
      <c r="H23" s="263">
        <v>550</v>
      </c>
      <c r="I23" s="263"/>
      <c r="J23" s="264">
        <f>SUM(B23:I23)</f>
        <v>17038.7</v>
      </c>
      <c r="K23" s="262">
        <f>1663.02+1107.51+306.67</f>
        <v>3077.2</v>
      </c>
      <c r="L23" s="264">
        <v>0</v>
      </c>
      <c r="M23" s="248"/>
      <c r="N23" s="248"/>
      <c r="O23" s="248"/>
      <c r="P23" s="248"/>
      <c r="Q23" s="248"/>
      <c r="R23" s="248"/>
      <c r="S23" s="248"/>
      <c r="IH23" s="239"/>
      <c r="II23" s="239"/>
      <c r="IJ23" s="239"/>
      <c r="IK23" s="239"/>
      <c r="IL23" s="239"/>
      <c r="IM23" s="239"/>
    </row>
    <row r="24" spans="1:256" x14ac:dyDescent="0.25">
      <c r="A24" s="261" t="s">
        <v>17</v>
      </c>
      <c r="B24" s="290"/>
      <c r="C24" s="263"/>
      <c r="D24" s="263"/>
      <c r="E24" s="263"/>
      <c r="F24" s="263"/>
      <c r="G24" s="263"/>
      <c r="H24" s="263"/>
      <c r="I24" s="263"/>
      <c r="J24" s="264">
        <v>0</v>
      </c>
      <c r="K24" s="262">
        <f>J24*0.1806</f>
        <v>0</v>
      </c>
      <c r="L24" s="264">
        <f>J24*0.0245</f>
        <v>0</v>
      </c>
      <c r="M24" s="248"/>
      <c r="N24" s="248"/>
      <c r="O24" s="248"/>
      <c r="P24" s="248"/>
      <c r="Q24" s="248"/>
      <c r="R24" s="248"/>
      <c r="S24" s="248"/>
      <c r="IH24" s="239"/>
      <c r="II24" s="239"/>
      <c r="IJ24" s="239"/>
      <c r="IK24" s="239"/>
      <c r="IL24" s="239"/>
      <c r="IM24" s="239"/>
    </row>
    <row r="25" spans="1:256" ht="12.75" customHeight="1" x14ac:dyDescent="0.25">
      <c r="A25" s="261" t="s">
        <v>18</v>
      </c>
      <c r="B25" s="290">
        <v>18018.84</v>
      </c>
      <c r="C25" s="263">
        <v>3603.77</v>
      </c>
      <c r="D25" s="263"/>
      <c r="E25" s="263"/>
      <c r="F25" s="263"/>
      <c r="G25" s="263">
        <v>1782.56</v>
      </c>
      <c r="H25" s="263">
        <v>550</v>
      </c>
      <c r="I25" s="263"/>
      <c r="J25" s="264">
        <f>SUM(B25:I25)</f>
        <v>23955.170000000002</v>
      </c>
      <c r="K25" s="262">
        <f>2338.04+1557.09+431.19</f>
        <v>4326.32</v>
      </c>
      <c r="L25" s="264">
        <v>0</v>
      </c>
      <c r="M25" s="248"/>
      <c r="N25" s="248"/>
      <c r="O25" s="248"/>
      <c r="P25" s="248"/>
      <c r="Q25" s="248"/>
      <c r="R25" s="248"/>
      <c r="S25" s="248"/>
      <c r="IH25" s="239"/>
      <c r="II25" s="239"/>
      <c r="IJ25" s="239"/>
      <c r="IK25" s="239"/>
      <c r="IL25" s="239"/>
      <c r="IM25" s="239"/>
    </row>
    <row r="26" spans="1:256" ht="12.75" customHeight="1" x14ac:dyDescent="0.25">
      <c r="A26" s="261" t="s">
        <v>214</v>
      </c>
      <c r="B26" s="290">
        <v>1350</v>
      </c>
      <c r="C26" s="263"/>
      <c r="D26" s="263"/>
      <c r="E26" s="263"/>
      <c r="F26" s="263"/>
      <c r="G26" s="263"/>
      <c r="H26" s="263"/>
      <c r="I26" s="263"/>
      <c r="J26" s="264">
        <f>SUM(B26:I26)</f>
        <v>1350</v>
      </c>
      <c r="K26" s="262">
        <f>131.76+87.75+24.3</f>
        <v>243.81</v>
      </c>
      <c r="L26" s="264">
        <v>33.08</v>
      </c>
      <c r="M26" s="248"/>
      <c r="N26" s="248"/>
      <c r="O26" s="248"/>
      <c r="P26" s="248"/>
      <c r="Q26" s="248"/>
      <c r="R26" s="248"/>
      <c r="S26" s="248"/>
      <c r="IH26" s="239"/>
      <c r="II26" s="239"/>
      <c r="IJ26" s="239"/>
      <c r="IK26" s="239"/>
      <c r="IL26" s="239"/>
      <c r="IM26" s="239"/>
    </row>
    <row r="27" spans="1:256" x14ac:dyDescent="0.25">
      <c r="A27" s="291" t="s">
        <v>19</v>
      </c>
      <c r="B27" s="292">
        <v>31922</v>
      </c>
      <c r="C27" s="293">
        <v>6384.4</v>
      </c>
      <c r="D27" s="293"/>
      <c r="E27" s="293"/>
      <c r="F27" s="293"/>
      <c r="G27" s="293">
        <v>3154.98</v>
      </c>
      <c r="H27" s="293">
        <v>1900</v>
      </c>
      <c r="I27" s="293"/>
      <c r="J27" s="294">
        <f>SUM(B27:I27)</f>
        <v>43361.380000000005</v>
      </c>
      <c r="K27" s="295">
        <f>4232.05+2818.53+780.47</f>
        <v>7831.05</v>
      </c>
      <c r="L27" s="294">
        <v>1062.3699999999999</v>
      </c>
      <c r="M27" s="248"/>
      <c r="N27" s="248"/>
      <c r="O27" s="248"/>
      <c r="P27" s="248"/>
      <c r="Q27" s="248"/>
      <c r="R27" s="248"/>
      <c r="S27" s="248"/>
      <c r="IH27" s="239"/>
      <c r="II27" s="239"/>
      <c r="IJ27" s="239"/>
      <c r="IK27" s="239"/>
      <c r="IL27" s="239"/>
      <c r="IM27" s="239"/>
    </row>
    <row r="28" spans="1:256" s="279" customFormat="1" x14ac:dyDescent="0.25">
      <c r="A28" s="296" t="s">
        <v>8</v>
      </c>
      <c r="B28" s="297">
        <f t="shared" ref="B28:L28" si="4">SUM(B19:B27)</f>
        <v>147508.94</v>
      </c>
      <c r="C28" s="297">
        <f t="shared" si="4"/>
        <v>28421.5</v>
      </c>
      <c r="D28" s="297">
        <f t="shared" si="4"/>
        <v>21881.67</v>
      </c>
      <c r="E28" s="297">
        <f t="shared" si="4"/>
        <v>2035.25</v>
      </c>
      <c r="F28" s="297">
        <f t="shared" si="4"/>
        <v>0</v>
      </c>
      <c r="G28" s="297">
        <f t="shared" si="4"/>
        <v>16468.04</v>
      </c>
      <c r="H28" s="297">
        <f t="shared" si="4"/>
        <v>5750</v>
      </c>
      <c r="I28" s="297">
        <f t="shared" si="4"/>
        <v>0</v>
      </c>
      <c r="J28" s="298">
        <f t="shared" si="4"/>
        <v>222065.40000000002</v>
      </c>
      <c r="K28" s="278">
        <f t="shared" si="4"/>
        <v>39694.450000000004</v>
      </c>
      <c r="L28" s="278">
        <f t="shared" si="4"/>
        <v>2711.12</v>
      </c>
      <c r="M28" s="248"/>
      <c r="N28" s="248"/>
      <c r="O28" s="248"/>
      <c r="P28" s="248"/>
      <c r="Q28" s="248"/>
      <c r="R28" s="248"/>
      <c r="S28" s="248"/>
      <c r="IH28" s="281"/>
      <c r="II28" s="281"/>
      <c r="IJ28" s="281"/>
      <c r="IK28" s="281"/>
      <c r="IL28" s="281"/>
      <c r="IM28" s="281"/>
      <c r="IN28" s="281"/>
      <c r="IO28" s="281"/>
      <c r="IP28" s="281"/>
      <c r="IQ28" s="281"/>
      <c r="IR28" s="281"/>
      <c r="IS28" s="281"/>
      <c r="IT28" s="281"/>
      <c r="IU28" s="281"/>
      <c r="IV28" s="281"/>
    </row>
    <row r="29" spans="1:256" s="279" customFormat="1" x14ac:dyDescent="0.25">
      <c r="B29" s="454">
        <f>B28+C28+D28+F28+E28</f>
        <v>199847.36</v>
      </c>
      <c r="C29" s="454"/>
      <c r="D29" s="454"/>
      <c r="E29" s="454"/>
      <c r="F29" s="454"/>
      <c r="G29" s="455">
        <f>G28+H28</f>
        <v>22218.04</v>
      </c>
      <c r="H29" s="455"/>
      <c r="K29" s="300"/>
    </row>
    <row r="30" spans="1:256" s="279" customFormat="1" x14ac:dyDescent="0.25">
      <c r="B30" s="452" t="s">
        <v>216</v>
      </c>
      <c r="C30" s="452"/>
      <c r="D30" s="452"/>
      <c r="E30" s="452"/>
      <c r="F30" s="452"/>
      <c r="G30" s="452"/>
      <c r="H30" s="452"/>
      <c r="I30" s="452"/>
      <c r="J30" s="452"/>
      <c r="K30" s="453" t="s">
        <v>27</v>
      </c>
      <c r="L30" s="453"/>
    </row>
    <row r="31" spans="1:256" s="279" customFormat="1" ht="30" x14ac:dyDescent="0.2">
      <c r="A31" s="282" t="s">
        <v>1</v>
      </c>
      <c r="B31" s="283" t="s">
        <v>2</v>
      </c>
      <c r="C31" s="244" t="s">
        <v>3</v>
      </c>
      <c r="D31" s="244" t="s">
        <v>4</v>
      </c>
      <c r="E31" s="244" t="s">
        <v>22</v>
      </c>
      <c r="F31" s="244" t="s">
        <v>23</v>
      </c>
      <c r="G31" s="245" t="s">
        <v>5</v>
      </c>
      <c r="H31" s="245" t="s">
        <v>6</v>
      </c>
      <c r="I31" s="245" t="s">
        <v>7</v>
      </c>
      <c r="J31" s="246" t="s">
        <v>8</v>
      </c>
      <c r="K31" s="247" t="s">
        <v>9</v>
      </c>
      <c r="L31" s="247" t="s">
        <v>10</v>
      </c>
    </row>
    <row r="32" spans="1:256" s="279" customFormat="1" x14ac:dyDescent="0.2">
      <c r="A32" s="284">
        <v>1</v>
      </c>
      <c r="B32" s="285">
        <v>2</v>
      </c>
      <c r="C32" s="251">
        <v>3</v>
      </c>
      <c r="D32" s="251">
        <v>4</v>
      </c>
      <c r="E32" s="251">
        <v>5</v>
      </c>
      <c r="F32" s="251">
        <v>6</v>
      </c>
      <c r="G32" s="251">
        <v>7</v>
      </c>
      <c r="H32" s="251">
        <v>8</v>
      </c>
      <c r="I32" s="251">
        <v>9</v>
      </c>
      <c r="J32" s="286">
        <v>10</v>
      </c>
      <c r="K32" s="254">
        <v>12</v>
      </c>
      <c r="L32" s="254">
        <v>13</v>
      </c>
    </row>
    <row r="33" spans="1:256" s="279" customFormat="1" x14ac:dyDescent="0.25">
      <c r="A33" s="288" t="s">
        <v>12</v>
      </c>
      <c r="B33" s="301">
        <f>3800</f>
        <v>3800</v>
      </c>
      <c r="C33" s="302">
        <f>760</f>
        <v>760</v>
      </c>
      <c r="D33" s="302">
        <f>1300</f>
        <v>1300</v>
      </c>
      <c r="E33" s="302">
        <v>0</v>
      </c>
      <c r="F33" s="302"/>
      <c r="G33" s="302">
        <v>0</v>
      </c>
      <c r="H33" s="456">
        <v>6351.96</v>
      </c>
      <c r="I33" s="302"/>
      <c r="J33" s="303">
        <f>SUM(B33:G33)</f>
        <v>5860</v>
      </c>
      <c r="K33" s="304">
        <f t="shared" ref="K33:K41" si="5">J33*0.1806</f>
        <v>1058.316</v>
      </c>
      <c r="L33" s="303">
        <v>0</v>
      </c>
    </row>
    <row r="34" spans="1:256" s="279" customFormat="1" x14ac:dyDescent="0.25">
      <c r="A34" s="261" t="s">
        <v>13</v>
      </c>
      <c r="B34" s="290">
        <f>1651.13</f>
        <v>1651.13</v>
      </c>
      <c r="C34" s="263">
        <f>330.23</f>
        <v>330.23</v>
      </c>
      <c r="D34" s="263">
        <f>705</f>
        <v>705</v>
      </c>
      <c r="E34" s="263"/>
      <c r="F34" s="263"/>
      <c r="G34" s="263">
        <v>0</v>
      </c>
      <c r="H34" s="456"/>
      <c r="I34" s="263"/>
      <c r="J34" s="264">
        <f t="shared" ref="J34:J41" si="6">SUM(B34:I34)</f>
        <v>2686.36</v>
      </c>
      <c r="K34" s="262">
        <f t="shared" si="5"/>
        <v>485.15661600000004</v>
      </c>
      <c r="L34" s="264">
        <f>J34*0.0245</f>
        <v>65.815820000000002</v>
      </c>
    </row>
    <row r="35" spans="1:256" s="279" customFormat="1" x14ac:dyDescent="0.25">
      <c r="A35" s="261" t="s">
        <v>14</v>
      </c>
      <c r="B35" s="290">
        <f>1850</f>
        <v>1850</v>
      </c>
      <c r="C35" s="263"/>
      <c r="D35" s="263"/>
      <c r="E35" s="263"/>
      <c r="F35" s="263"/>
      <c r="G35" s="263">
        <v>0</v>
      </c>
      <c r="H35" s="456"/>
      <c r="I35" s="263"/>
      <c r="J35" s="264">
        <f t="shared" si="6"/>
        <v>1850</v>
      </c>
      <c r="K35" s="262">
        <f t="shared" si="5"/>
        <v>334.11</v>
      </c>
      <c r="L35" s="262">
        <f>K35*0.1806</f>
        <v>60.340266000000007</v>
      </c>
    </row>
    <row r="36" spans="1:256" s="279" customFormat="1" x14ac:dyDescent="0.25">
      <c r="A36" s="261" t="s">
        <v>16</v>
      </c>
      <c r="B36" s="290">
        <f>2050</f>
        <v>2050</v>
      </c>
      <c r="C36" s="263">
        <f>410</f>
        <v>410</v>
      </c>
      <c r="D36" s="263"/>
      <c r="E36" s="263">
        <v>0</v>
      </c>
      <c r="F36" s="263"/>
      <c r="G36" s="263">
        <v>0</v>
      </c>
      <c r="H36" s="456"/>
      <c r="I36" s="263"/>
      <c r="J36" s="264">
        <f t="shared" si="6"/>
        <v>2460</v>
      </c>
      <c r="K36" s="262">
        <f t="shared" si="5"/>
        <v>444.27600000000001</v>
      </c>
      <c r="L36" s="264">
        <f>J36*0.0245</f>
        <v>60.27</v>
      </c>
    </row>
    <row r="37" spans="1:256" s="279" customFormat="1" x14ac:dyDescent="0.25">
      <c r="A37" s="261" t="s">
        <v>17</v>
      </c>
      <c r="B37" s="290">
        <f>1064</f>
        <v>1064</v>
      </c>
      <c r="C37" s="263">
        <f>212.8</f>
        <v>212.8</v>
      </c>
      <c r="D37" s="263"/>
      <c r="E37" s="263"/>
      <c r="F37" s="263"/>
      <c r="G37" s="263">
        <v>0</v>
      </c>
      <c r="H37" s="456"/>
      <c r="I37" s="263"/>
      <c r="J37" s="264">
        <f t="shared" si="6"/>
        <v>1276.8</v>
      </c>
      <c r="K37" s="262">
        <f t="shared" si="5"/>
        <v>230.59008</v>
      </c>
      <c r="L37" s="264">
        <v>0</v>
      </c>
    </row>
    <row r="38" spans="1:256" s="279" customFormat="1" x14ac:dyDescent="0.25">
      <c r="A38" s="261" t="s">
        <v>17</v>
      </c>
      <c r="B38" s="290"/>
      <c r="C38" s="263"/>
      <c r="D38" s="263"/>
      <c r="E38" s="263"/>
      <c r="F38" s="263"/>
      <c r="G38" s="263">
        <v>0</v>
      </c>
      <c r="H38" s="456"/>
      <c r="I38" s="263"/>
      <c r="J38" s="264">
        <f t="shared" si="6"/>
        <v>0</v>
      </c>
      <c r="K38" s="262">
        <f t="shared" si="5"/>
        <v>0</v>
      </c>
      <c r="L38" s="264">
        <f>J38*0.0245</f>
        <v>0</v>
      </c>
    </row>
    <row r="39" spans="1:256" s="279" customFormat="1" x14ac:dyDescent="0.25">
      <c r="A39" s="261" t="s">
        <v>18</v>
      </c>
      <c r="B39" s="290">
        <f>1650</f>
        <v>1650</v>
      </c>
      <c r="C39" s="263">
        <f>330</f>
        <v>330</v>
      </c>
      <c r="D39" s="263"/>
      <c r="E39" s="263"/>
      <c r="F39" s="263"/>
      <c r="G39" s="263">
        <v>0</v>
      </c>
      <c r="H39" s="456"/>
      <c r="I39" s="263"/>
      <c r="J39" s="264">
        <f t="shared" si="6"/>
        <v>1980</v>
      </c>
      <c r="K39" s="262">
        <f t="shared" si="5"/>
        <v>357.58800000000002</v>
      </c>
      <c r="L39" s="264">
        <v>0</v>
      </c>
    </row>
    <row r="40" spans="1:256" s="279" customFormat="1" x14ac:dyDescent="0.25">
      <c r="A40" s="267" t="s">
        <v>217</v>
      </c>
      <c r="B40" s="305">
        <v>1550</v>
      </c>
      <c r="C40" s="269"/>
      <c r="D40" s="269"/>
      <c r="E40" s="269"/>
      <c r="F40" s="269"/>
      <c r="G40" s="269"/>
      <c r="H40" s="456"/>
      <c r="I40" s="269"/>
      <c r="J40" s="264">
        <f t="shared" si="6"/>
        <v>1550</v>
      </c>
      <c r="K40" s="262">
        <f t="shared" si="5"/>
        <v>279.93</v>
      </c>
      <c r="L40" s="264">
        <f>J40*0.0245</f>
        <v>37.975000000000001</v>
      </c>
    </row>
    <row r="41" spans="1:256" s="279" customFormat="1" x14ac:dyDescent="0.25">
      <c r="A41" s="267" t="s">
        <v>19</v>
      </c>
      <c r="B41" s="305">
        <f>2902</f>
        <v>2902</v>
      </c>
      <c r="C41" s="269">
        <f>580.4</f>
        <v>580.4</v>
      </c>
      <c r="D41" s="269"/>
      <c r="E41" s="269"/>
      <c r="F41" s="269"/>
      <c r="G41" s="269">
        <v>0</v>
      </c>
      <c r="H41" s="456"/>
      <c r="I41" s="269"/>
      <c r="J41" s="306">
        <f t="shared" si="6"/>
        <v>3482.4</v>
      </c>
      <c r="K41" s="268">
        <f t="shared" si="5"/>
        <v>628.92144000000008</v>
      </c>
      <c r="L41" s="306">
        <f>J41*0.0245</f>
        <v>85.31880000000001</v>
      </c>
    </row>
    <row r="42" spans="1:256" s="279" customFormat="1" x14ac:dyDescent="0.25">
      <c r="A42" s="296" t="s">
        <v>8</v>
      </c>
      <c r="B42" s="297">
        <f t="shared" ref="B42:L42" si="7">SUM(B33:B41)</f>
        <v>16517.13</v>
      </c>
      <c r="C42" s="297">
        <f t="shared" si="7"/>
        <v>2623.43</v>
      </c>
      <c r="D42" s="297">
        <f t="shared" si="7"/>
        <v>2005</v>
      </c>
      <c r="E42" s="297">
        <f t="shared" si="7"/>
        <v>0</v>
      </c>
      <c r="F42" s="297">
        <f t="shared" si="7"/>
        <v>0</v>
      </c>
      <c r="G42" s="297">
        <f t="shared" si="7"/>
        <v>0</v>
      </c>
      <c r="H42" s="297">
        <f t="shared" si="7"/>
        <v>6351.96</v>
      </c>
      <c r="I42" s="297">
        <f t="shared" si="7"/>
        <v>0</v>
      </c>
      <c r="J42" s="299">
        <f t="shared" si="7"/>
        <v>21145.56</v>
      </c>
      <c r="K42" s="278">
        <f t="shared" si="7"/>
        <v>3818.888136</v>
      </c>
      <c r="L42" s="278">
        <f t="shared" si="7"/>
        <v>309.71988600000003</v>
      </c>
    </row>
    <row r="43" spans="1:256" s="279" customFormat="1" x14ac:dyDescent="0.25">
      <c r="A43" s="307"/>
      <c r="B43" s="308"/>
      <c r="C43" s="309"/>
      <c r="D43" s="309"/>
      <c r="E43" s="309"/>
      <c r="F43" s="309"/>
      <c r="G43" s="310"/>
      <c r="H43" s="311">
        <f>G29+H42</f>
        <v>28570</v>
      </c>
      <c r="I43" s="307"/>
      <c r="J43" s="312">
        <f>J42+J28</f>
        <v>243210.96000000002</v>
      </c>
      <c r="K43" s="300"/>
    </row>
    <row r="44" spans="1:256" x14ac:dyDescent="0.25">
      <c r="A44" s="248"/>
      <c r="B44" s="248"/>
      <c r="C44" s="248"/>
      <c r="D44" s="248"/>
      <c r="E44" s="248"/>
      <c r="F44" s="248"/>
      <c r="G44" s="248"/>
      <c r="H44" s="248"/>
      <c r="I44" s="248"/>
      <c r="J44" s="238">
        <f>J43+H42</f>
        <v>249562.92</v>
      </c>
      <c r="K44" s="248"/>
      <c r="L44" s="248"/>
      <c r="M44" s="248"/>
      <c r="N44" s="248"/>
      <c r="O44" s="248"/>
      <c r="P44" s="248"/>
      <c r="Q44" s="248"/>
      <c r="R44" s="248"/>
      <c r="S44" s="248"/>
    </row>
    <row r="45" spans="1:256" x14ac:dyDescent="0.25">
      <c r="A45" s="248"/>
      <c r="B45" s="248"/>
      <c r="C45" s="248"/>
      <c r="D45" s="248"/>
      <c r="E45" s="248"/>
      <c r="F45" s="248"/>
      <c r="G45" s="248"/>
      <c r="H45" s="248"/>
      <c r="I45" s="248"/>
      <c r="J45" s="238">
        <f>254070-J44</f>
        <v>4507.0799999999872</v>
      </c>
      <c r="K45" s="248"/>
      <c r="L45" s="248"/>
      <c r="M45" s="248"/>
      <c r="N45" s="248"/>
      <c r="O45" s="248"/>
      <c r="P45" s="248"/>
      <c r="Q45" s="248"/>
      <c r="R45" s="248"/>
      <c r="S45" s="248"/>
    </row>
    <row r="46" spans="1:256" s="314" customFormat="1" x14ac:dyDescent="0.2">
      <c r="A46" s="457" t="s">
        <v>24</v>
      </c>
      <c r="B46" s="457"/>
      <c r="C46" s="457"/>
      <c r="D46" s="457"/>
      <c r="E46" s="457"/>
      <c r="F46" s="457"/>
      <c r="G46" s="457"/>
      <c r="H46" s="457"/>
      <c r="I46" s="457"/>
      <c r="J46" s="457"/>
      <c r="K46" s="457"/>
      <c r="L46" s="457"/>
      <c r="M46" s="457"/>
      <c r="N46" s="313"/>
      <c r="O46" s="313"/>
      <c r="P46" s="313"/>
      <c r="Q46" s="313"/>
      <c r="R46" s="313"/>
      <c r="S46" s="313"/>
      <c r="IN46" s="315"/>
      <c r="IO46" s="315"/>
      <c r="IP46" s="315"/>
      <c r="IQ46" s="315"/>
      <c r="IR46" s="315"/>
      <c r="IS46" s="315"/>
      <c r="IT46" s="315"/>
      <c r="IU46" s="315"/>
      <c r="IV46" s="315"/>
    </row>
    <row r="47" spans="1:256" s="279" customFormat="1" ht="12.75" customHeight="1" x14ac:dyDescent="0.25">
      <c r="B47" s="458" t="s">
        <v>25</v>
      </c>
      <c r="C47" s="458"/>
      <c r="D47" s="458"/>
      <c r="E47" s="459" t="s">
        <v>26</v>
      </c>
      <c r="F47" s="459"/>
      <c r="G47" s="459"/>
      <c r="H47" s="459"/>
      <c r="I47" s="459"/>
      <c r="J47" s="459"/>
      <c r="K47" s="459"/>
      <c r="L47" s="453" t="s">
        <v>27</v>
      </c>
      <c r="M47" s="453"/>
      <c r="N47" s="313"/>
      <c r="O47" s="313"/>
      <c r="P47" s="313"/>
      <c r="Q47" s="313"/>
      <c r="R47" s="313"/>
      <c r="S47" s="313"/>
      <c r="IN47" s="281"/>
      <c r="IO47" s="281"/>
      <c r="IP47" s="281"/>
      <c r="IQ47" s="281"/>
      <c r="IR47" s="281"/>
      <c r="IS47" s="281"/>
      <c r="IT47" s="281"/>
      <c r="IU47" s="281"/>
      <c r="IV47" s="281"/>
    </row>
    <row r="48" spans="1:256" s="279" customFormat="1" ht="30" x14ac:dyDescent="0.25">
      <c r="A48" s="282" t="s">
        <v>1</v>
      </c>
      <c r="B48" s="316" t="s">
        <v>2</v>
      </c>
      <c r="C48" s="317" t="s">
        <v>3</v>
      </c>
      <c r="D48" s="318" t="s">
        <v>4</v>
      </c>
      <c r="E48" s="283" t="s">
        <v>2</v>
      </c>
      <c r="F48" s="244" t="s">
        <v>3</v>
      </c>
      <c r="G48" s="319" t="s">
        <v>4</v>
      </c>
      <c r="H48" s="320" t="s">
        <v>5</v>
      </c>
      <c r="I48" s="245" t="s">
        <v>6</v>
      </c>
      <c r="J48" s="246" t="s">
        <v>218</v>
      </c>
      <c r="K48" s="321" t="s">
        <v>8</v>
      </c>
      <c r="L48" s="247" t="s">
        <v>9</v>
      </c>
      <c r="M48" s="247" t="s">
        <v>10</v>
      </c>
      <c r="N48" s="313"/>
      <c r="O48" s="313"/>
      <c r="P48" s="313"/>
      <c r="Q48" s="313"/>
      <c r="R48" s="313"/>
      <c r="S48" s="313"/>
      <c r="IN48" s="281"/>
      <c r="IO48" s="281"/>
      <c r="IP48" s="281"/>
      <c r="IQ48" s="281"/>
      <c r="IR48" s="281"/>
      <c r="IS48" s="281"/>
      <c r="IT48" s="281"/>
      <c r="IU48" s="281"/>
      <c r="IV48" s="281"/>
    </row>
    <row r="49" spans="1:256" s="279" customFormat="1" x14ac:dyDescent="0.25">
      <c r="A49" s="284">
        <v>1</v>
      </c>
      <c r="B49" s="322">
        <v>2</v>
      </c>
      <c r="C49" s="323">
        <v>3</v>
      </c>
      <c r="D49" s="324">
        <v>4</v>
      </c>
      <c r="E49" s="322">
        <v>5</v>
      </c>
      <c r="F49" s="323">
        <v>6</v>
      </c>
      <c r="G49" s="325">
        <v>7</v>
      </c>
      <c r="H49" s="326">
        <v>8</v>
      </c>
      <c r="I49" s="252">
        <v>9</v>
      </c>
      <c r="J49" s="253">
        <v>10</v>
      </c>
      <c r="K49" s="327" t="s">
        <v>28</v>
      </c>
      <c r="L49" s="254">
        <v>12</v>
      </c>
      <c r="M49" s="254">
        <v>13</v>
      </c>
      <c r="N49" s="313"/>
      <c r="O49" s="313"/>
      <c r="P49" s="313"/>
      <c r="Q49" s="313"/>
      <c r="R49" s="313"/>
      <c r="S49" s="313"/>
      <c r="IN49" s="281"/>
      <c r="IO49" s="281"/>
      <c r="IP49" s="281"/>
      <c r="IQ49" s="281"/>
      <c r="IR49" s="281"/>
      <c r="IS49" s="281"/>
      <c r="IT49" s="281"/>
      <c r="IU49" s="281"/>
      <c r="IV49" s="281"/>
    </row>
    <row r="50" spans="1:256" x14ac:dyDescent="0.25">
      <c r="A50" s="288" t="s">
        <v>12</v>
      </c>
      <c r="B50" s="289">
        <v>3900</v>
      </c>
      <c r="C50" s="328">
        <v>780</v>
      </c>
      <c r="D50" s="329">
        <v>1300</v>
      </c>
      <c r="E50" s="290">
        <f t="shared" ref="E50:G55" si="8">B50*12</f>
        <v>46800</v>
      </c>
      <c r="F50" s="330">
        <f t="shared" si="8"/>
        <v>9360</v>
      </c>
      <c r="G50" s="331">
        <f t="shared" si="8"/>
        <v>15600</v>
      </c>
      <c r="H50" s="262">
        <v>5977.2</v>
      </c>
      <c r="I50" s="263">
        <v>2500</v>
      </c>
      <c r="J50" s="264"/>
      <c r="K50" s="332">
        <f t="shared" ref="K50:K57" si="9">SUM(E50:J50)</f>
        <v>80237.2</v>
      </c>
      <c r="L50" s="257">
        <f>K50*0.1806</f>
        <v>14490.838320000001</v>
      </c>
      <c r="M50" s="259">
        <v>0</v>
      </c>
      <c r="N50" s="248"/>
      <c r="O50" s="248"/>
      <c r="P50" s="248"/>
      <c r="Q50" s="248"/>
      <c r="R50" s="248"/>
      <c r="S50" s="248"/>
    </row>
    <row r="51" spans="1:256" x14ac:dyDescent="0.25">
      <c r="A51" s="261" t="s">
        <v>13</v>
      </c>
      <c r="B51" s="290">
        <v>1700</v>
      </c>
      <c r="C51" s="330">
        <v>340</v>
      </c>
      <c r="D51" s="333">
        <v>705</v>
      </c>
      <c r="E51" s="290">
        <f t="shared" si="8"/>
        <v>20400</v>
      </c>
      <c r="F51" s="330">
        <f t="shared" si="8"/>
        <v>4080</v>
      </c>
      <c r="G51" s="331">
        <f t="shared" si="8"/>
        <v>8460</v>
      </c>
      <c r="H51" s="262">
        <v>2740.09</v>
      </c>
      <c r="I51" s="263">
        <v>1500</v>
      </c>
      <c r="J51" s="264"/>
      <c r="K51" s="332">
        <f t="shared" si="9"/>
        <v>37180.089999999997</v>
      </c>
      <c r="L51" s="262">
        <f>K51*0.1806</f>
        <v>6714.7242539999997</v>
      </c>
      <c r="M51" s="264">
        <f>K51*0.0245</f>
        <v>910.91220499999997</v>
      </c>
      <c r="N51" s="248"/>
      <c r="O51" s="248"/>
      <c r="P51" s="248"/>
      <c r="Q51" s="248"/>
      <c r="R51" s="248"/>
      <c r="S51" s="248"/>
    </row>
    <row r="52" spans="1:256" x14ac:dyDescent="0.25">
      <c r="A52" s="261" t="s">
        <v>16</v>
      </c>
      <c r="B52" s="290">
        <v>2150</v>
      </c>
      <c r="C52" s="330">
        <v>430</v>
      </c>
      <c r="D52" s="333"/>
      <c r="E52" s="290">
        <f t="shared" si="8"/>
        <v>25800</v>
      </c>
      <c r="F52" s="330">
        <f t="shared" si="8"/>
        <v>5160</v>
      </c>
      <c r="G52" s="334">
        <f t="shared" si="8"/>
        <v>0</v>
      </c>
      <c r="H52" s="262">
        <v>2509.1999999999998</v>
      </c>
      <c r="I52" s="263">
        <v>2000</v>
      </c>
      <c r="J52" s="264"/>
      <c r="K52" s="332">
        <f t="shared" si="9"/>
        <v>35469.199999999997</v>
      </c>
      <c r="L52" s="262">
        <f>K52*0.1806</f>
        <v>6405.7375199999997</v>
      </c>
      <c r="M52" s="264">
        <f>K52*0.0245</f>
        <v>868.99540000000002</v>
      </c>
      <c r="N52" s="248"/>
      <c r="O52" s="248"/>
      <c r="P52" s="248"/>
      <c r="Q52" s="248"/>
      <c r="R52" s="248"/>
      <c r="S52" s="248"/>
    </row>
    <row r="53" spans="1:256" x14ac:dyDescent="0.25">
      <c r="A53" s="261" t="s">
        <v>17</v>
      </c>
      <c r="B53" s="290">
        <v>1114</v>
      </c>
      <c r="C53" s="330">
        <f>B53*0.2</f>
        <v>222.8</v>
      </c>
      <c r="D53" s="333"/>
      <c r="E53" s="290">
        <f t="shared" si="8"/>
        <v>13368</v>
      </c>
      <c r="F53" s="330">
        <f t="shared" si="8"/>
        <v>2673.6000000000004</v>
      </c>
      <c r="G53" s="334">
        <f t="shared" si="8"/>
        <v>0</v>
      </c>
      <c r="H53" s="262">
        <v>1302.3399999999999</v>
      </c>
      <c r="I53" s="263">
        <v>1000</v>
      </c>
      <c r="J53" s="264"/>
      <c r="K53" s="332">
        <f t="shared" si="9"/>
        <v>18343.939999999999</v>
      </c>
      <c r="L53" s="262">
        <f>K53*0.1806</f>
        <v>3312.9155639999999</v>
      </c>
      <c r="M53" s="264">
        <v>0</v>
      </c>
      <c r="N53" s="248"/>
      <c r="O53" s="248"/>
      <c r="P53" s="248"/>
      <c r="Q53" s="248"/>
      <c r="R53" s="248"/>
      <c r="S53" s="248"/>
    </row>
    <row r="54" spans="1:256" x14ac:dyDescent="0.25">
      <c r="A54" s="261" t="s">
        <v>17</v>
      </c>
      <c r="B54" s="290">
        <v>2300</v>
      </c>
      <c r="C54" s="330">
        <f>B54*0.2</f>
        <v>460</v>
      </c>
      <c r="D54" s="333"/>
      <c r="E54" s="290">
        <f t="shared" si="8"/>
        <v>27600</v>
      </c>
      <c r="F54" s="330">
        <f t="shared" si="8"/>
        <v>5520</v>
      </c>
      <c r="G54" s="334">
        <f t="shared" si="8"/>
        <v>0</v>
      </c>
      <c r="H54" s="262">
        <v>0</v>
      </c>
      <c r="I54" s="263">
        <v>1800</v>
      </c>
      <c r="J54" s="333">
        <v>2760</v>
      </c>
      <c r="K54" s="332">
        <f t="shared" si="9"/>
        <v>37680</v>
      </c>
      <c r="L54" s="262">
        <f>K54*0.1806</f>
        <v>6805.0080000000007</v>
      </c>
      <c r="M54" s="264">
        <f>K54*0.0245</f>
        <v>923.16000000000008</v>
      </c>
      <c r="N54" s="248"/>
      <c r="O54" s="248"/>
      <c r="P54" s="248"/>
      <c r="Q54" s="248"/>
      <c r="R54" s="248"/>
      <c r="S54" s="248"/>
    </row>
    <row r="55" spans="1:256" x14ac:dyDescent="0.25">
      <c r="A55" s="261" t="s">
        <v>18</v>
      </c>
      <c r="B55" s="290">
        <v>1750</v>
      </c>
      <c r="C55" s="330">
        <f>B55*0.2</f>
        <v>350</v>
      </c>
      <c r="D55" s="333"/>
      <c r="E55" s="290">
        <f t="shared" si="8"/>
        <v>21000</v>
      </c>
      <c r="F55" s="330">
        <f t="shared" si="8"/>
        <v>4200</v>
      </c>
      <c r="G55" s="334">
        <f t="shared" si="8"/>
        <v>0</v>
      </c>
      <c r="H55" s="262">
        <v>2019.6</v>
      </c>
      <c r="I55" s="263">
        <v>1000</v>
      </c>
      <c r="J55" s="264">
        <f>(B55+C55)*3*2</f>
        <v>12600</v>
      </c>
      <c r="K55" s="332">
        <f t="shared" si="9"/>
        <v>40819.599999999999</v>
      </c>
      <c r="L55" s="262">
        <f>(K55)*0.1806</f>
        <v>7372.0197600000001</v>
      </c>
      <c r="M55" s="264">
        <v>0</v>
      </c>
      <c r="N55" s="248"/>
      <c r="O55" s="248"/>
      <c r="P55" s="248"/>
      <c r="Q55" s="248"/>
      <c r="R55" s="248"/>
      <c r="S55" s="248"/>
    </row>
    <row r="56" spans="1:256" x14ac:dyDescent="0.25">
      <c r="A56" s="261" t="s">
        <v>219</v>
      </c>
      <c r="B56" s="290">
        <v>1450</v>
      </c>
      <c r="C56" s="330">
        <f>B56*0.08</f>
        <v>116</v>
      </c>
      <c r="D56" s="333"/>
      <c r="E56" s="335">
        <f>B56*12</f>
        <v>17400</v>
      </c>
      <c r="F56" s="336">
        <f>C56*8+(B56*8%*4)</f>
        <v>1392</v>
      </c>
      <c r="G56" s="334">
        <f>D56*12</f>
        <v>0</v>
      </c>
      <c r="H56" s="262">
        <v>0</v>
      </c>
      <c r="I56" s="263">
        <v>1000</v>
      </c>
      <c r="J56" s="264"/>
      <c r="K56" s="332">
        <f t="shared" si="9"/>
        <v>19792</v>
      </c>
      <c r="L56" s="262">
        <f>K56*0.1806</f>
        <v>3574.4352000000003</v>
      </c>
      <c r="M56" s="264">
        <f>K56*0.0245</f>
        <v>484.904</v>
      </c>
      <c r="N56" s="248"/>
      <c r="O56" s="248"/>
      <c r="P56" s="248"/>
      <c r="Q56" s="248"/>
      <c r="R56" s="248"/>
      <c r="S56" s="248"/>
    </row>
    <row r="57" spans="1:256" x14ac:dyDescent="0.25">
      <c r="A57" s="291" t="s">
        <v>19</v>
      </c>
      <c r="B57" s="292">
        <v>3002</v>
      </c>
      <c r="C57" s="337">
        <f>B57*0.2</f>
        <v>600.4</v>
      </c>
      <c r="D57" s="338"/>
      <c r="E57" s="292">
        <f>B57*12</f>
        <v>36024</v>
      </c>
      <c r="F57" s="337">
        <f>C57*12</f>
        <v>7204.7999999999993</v>
      </c>
      <c r="G57" s="339">
        <f>D57*12</f>
        <v>0</v>
      </c>
      <c r="H57" s="262">
        <v>3552.05</v>
      </c>
      <c r="I57" s="293">
        <v>2200</v>
      </c>
      <c r="J57" s="294"/>
      <c r="K57" s="340">
        <f t="shared" si="9"/>
        <v>48980.850000000006</v>
      </c>
      <c r="L57" s="295">
        <f>K57*0.1806</f>
        <v>8845.9415100000024</v>
      </c>
      <c r="M57" s="294">
        <f>K57*0.0245</f>
        <v>1200.0308250000003</v>
      </c>
      <c r="N57" s="248"/>
      <c r="O57" s="248"/>
      <c r="P57" s="248"/>
      <c r="Q57" s="248"/>
      <c r="R57" s="248"/>
      <c r="S57" s="248"/>
    </row>
    <row r="58" spans="1:256" s="279" customFormat="1" x14ac:dyDescent="0.25">
      <c r="A58" s="341"/>
      <c r="B58" s="342">
        <f t="shared" ref="B58:M58" si="10">SUM(B50:B57)</f>
        <v>17366</v>
      </c>
      <c r="C58" s="343">
        <f t="shared" si="10"/>
        <v>3299.2000000000003</v>
      </c>
      <c r="D58" s="344">
        <f t="shared" si="10"/>
        <v>2005</v>
      </c>
      <c r="E58" s="342">
        <f t="shared" si="10"/>
        <v>208392</v>
      </c>
      <c r="F58" s="343">
        <f t="shared" si="10"/>
        <v>39590.399999999994</v>
      </c>
      <c r="G58" s="345">
        <f t="shared" si="10"/>
        <v>24060</v>
      </c>
      <c r="H58" s="346">
        <f t="shared" si="10"/>
        <v>18100.480000000003</v>
      </c>
      <c r="I58" s="347">
        <f t="shared" si="10"/>
        <v>13000</v>
      </c>
      <c r="J58" s="348">
        <f t="shared" si="10"/>
        <v>15360</v>
      </c>
      <c r="K58" s="349">
        <f t="shared" si="10"/>
        <v>318502.88</v>
      </c>
      <c r="L58" s="278">
        <f t="shared" si="10"/>
        <v>57521.620128000002</v>
      </c>
      <c r="M58" s="278">
        <f t="shared" si="10"/>
        <v>4388.0024300000005</v>
      </c>
      <c r="N58" s="313"/>
      <c r="O58" s="313"/>
      <c r="P58" s="313"/>
      <c r="Q58" s="313"/>
      <c r="R58" s="313"/>
      <c r="S58" s="313"/>
      <c r="IN58" s="281"/>
      <c r="IO58" s="281"/>
      <c r="IP58" s="281"/>
      <c r="IQ58" s="281"/>
      <c r="IR58" s="281"/>
      <c r="IS58" s="281"/>
      <c r="IT58" s="281"/>
      <c r="IU58" s="281"/>
      <c r="IV58" s="281"/>
    </row>
    <row r="59" spans="1:256" ht="18.75" x14ac:dyDescent="0.3">
      <c r="A59" s="350" t="s">
        <v>29</v>
      </c>
      <c r="B59" s="351">
        <f>B58*12</f>
        <v>208392</v>
      </c>
      <c r="C59" s="352">
        <f>C58*12</f>
        <v>39590.400000000001</v>
      </c>
      <c r="D59" s="353">
        <f>D58*12</f>
        <v>24060</v>
      </c>
      <c r="E59" s="450">
        <f>SUM(E58:G58)</f>
        <v>272042.40000000002</v>
      </c>
      <c r="F59" s="450"/>
      <c r="G59" s="450"/>
      <c r="H59" s="450">
        <f>SUM(H58:J58)</f>
        <v>46460.480000000003</v>
      </c>
      <c r="I59" s="450"/>
      <c r="J59" s="450"/>
      <c r="K59" s="239"/>
      <c r="L59" s="239"/>
      <c r="M59" s="239"/>
      <c r="N59" s="248"/>
      <c r="O59" s="248"/>
      <c r="P59" s="248"/>
      <c r="Q59" s="248"/>
      <c r="R59" s="248"/>
      <c r="S59" s="248"/>
    </row>
    <row r="60" spans="1:256" x14ac:dyDescent="0.25">
      <c r="A60" s="248"/>
      <c r="B60" s="239"/>
      <c r="C60" s="239"/>
      <c r="D60" s="239"/>
      <c r="E60" s="239"/>
    </row>
    <row r="61" spans="1:256" ht="12.75" customHeight="1" x14ac:dyDescent="0.25">
      <c r="A61" s="248"/>
      <c r="B61" s="461" t="s">
        <v>0</v>
      </c>
      <c r="C61" s="461"/>
      <c r="D61" s="461"/>
      <c r="E61" s="461" t="s">
        <v>32</v>
      </c>
      <c r="F61" s="461"/>
      <c r="G61" s="461"/>
      <c r="H61" s="462" t="s">
        <v>220</v>
      </c>
      <c r="I61" s="462"/>
      <c r="J61" s="462"/>
      <c r="K61" s="248"/>
      <c r="L61" s="248"/>
      <c r="M61" s="248"/>
      <c r="N61" s="248"/>
      <c r="O61" s="248"/>
    </row>
    <row r="62" spans="1:256" ht="30" x14ac:dyDescent="0.25">
      <c r="A62" s="282" t="s">
        <v>1</v>
      </c>
      <c r="B62" s="316" t="s">
        <v>33</v>
      </c>
      <c r="C62" s="317" t="s">
        <v>9</v>
      </c>
      <c r="D62" s="354" t="s">
        <v>34</v>
      </c>
      <c r="E62" s="316" t="s">
        <v>33</v>
      </c>
      <c r="F62" s="317" t="s">
        <v>9</v>
      </c>
      <c r="G62" s="354" t="s">
        <v>34</v>
      </c>
      <c r="H62" s="316" t="s">
        <v>33</v>
      </c>
      <c r="I62" s="317" t="s">
        <v>9</v>
      </c>
      <c r="J62" s="354" t="s">
        <v>34</v>
      </c>
      <c r="K62" s="248"/>
      <c r="L62" s="248"/>
      <c r="M62" s="248"/>
      <c r="N62" s="248"/>
      <c r="O62" s="248"/>
      <c r="P62" s="248"/>
      <c r="IN62" s="236"/>
    </row>
    <row r="63" spans="1:256" x14ac:dyDescent="0.25">
      <c r="A63" s="288" t="s">
        <v>35</v>
      </c>
      <c r="B63" s="262">
        <f>320*12</f>
        <v>3840</v>
      </c>
      <c r="C63" s="263">
        <f>B63*0.1806</f>
        <v>693.50400000000002</v>
      </c>
      <c r="D63" s="264">
        <f>B63*0.0245</f>
        <v>94.08</v>
      </c>
      <c r="E63" s="262">
        <v>2880</v>
      </c>
      <c r="F63" s="355">
        <v>520.11</v>
      </c>
      <c r="G63" s="264">
        <v>0</v>
      </c>
      <c r="H63" s="356">
        <f>320*3</f>
        <v>960</v>
      </c>
      <c r="I63" s="258">
        <f>H63*0.1806</f>
        <v>173.376</v>
      </c>
      <c r="J63" s="357">
        <v>0</v>
      </c>
      <c r="K63" s="248"/>
      <c r="L63" s="248"/>
      <c r="M63" s="248"/>
      <c r="N63" s="248"/>
      <c r="O63" s="248"/>
      <c r="P63" s="248"/>
      <c r="IN63" s="236"/>
    </row>
    <row r="64" spans="1:256" x14ac:dyDescent="0.25">
      <c r="A64" s="261" t="s">
        <v>39</v>
      </c>
      <c r="B64" s="262">
        <v>13620</v>
      </c>
      <c r="C64" s="263">
        <f>B64*0.1806</f>
        <v>2459.7719999999999</v>
      </c>
      <c r="D64" s="264">
        <f>B64*0.0245</f>
        <v>333.69</v>
      </c>
      <c r="E64" s="262">
        <v>9348.48</v>
      </c>
      <c r="F64" s="355">
        <v>0</v>
      </c>
      <c r="G64" s="264">
        <v>0</v>
      </c>
      <c r="H64" s="358">
        <f>1423.08*3</f>
        <v>4269.24</v>
      </c>
      <c r="I64" s="359">
        <v>0</v>
      </c>
      <c r="J64" s="360">
        <v>0</v>
      </c>
      <c r="K64" s="248"/>
      <c r="L64" s="248"/>
      <c r="M64" s="248"/>
      <c r="N64" s="248"/>
      <c r="O64" s="248"/>
      <c r="P64" s="248"/>
      <c r="IN64" s="236"/>
    </row>
    <row r="65" spans="1:248" x14ac:dyDescent="0.25">
      <c r="A65" s="261" t="s">
        <v>40</v>
      </c>
      <c r="B65" s="262">
        <v>0</v>
      </c>
      <c r="C65" s="263">
        <f>B65*0.1806</f>
        <v>0</v>
      </c>
      <c r="D65" s="264">
        <f>B65*0.0245</f>
        <v>0</v>
      </c>
      <c r="E65" s="262"/>
      <c r="F65" s="355">
        <v>0</v>
      </c>
      <c r="G65" s="264">
        <v>0</v>
      </c>
      <c r="H65" s="358">
        <v>0</v>
      </c>
      <c r="I65" s="359">
        <v>0</v>
      </c>
      <c r="J65" s="360">
        <v>0</v>
      </c>
      <c r="K65" s="248"/>
      <c r="L65" s="248"/>
      <c r="M65" s="248"/>
      <c r="N65" s="248"/>
      <c r="O65" s="248"/>
      <c r="P65" s="248"/>
      <c r="IN65" s="236"/>
    </row>
    <row r="66" spans="1:248" x14ac:dyDescent="0.25">
      <c r="A66" s="261" t="s">
        <v>42</v>
      </c>
      <c r="B66" s="262">
        <v>16160</v>
      </c>
      <c r="C66" s="263">
        <v>0</v>
      </c>
      <c r="D66" s="264">
        <v>0</v>
      </c>
      <c r="E66" s="262">
        <v>10435.92</v>
      </c>
      <c r="F66" s="355">
        <v>0</v>
      </c>
      <c r="G66" s="264">
        <v>0</v>
      </c>
      <c r="H66" s="358">
        <f>1423.08*3</f>
        <v>4269.24</v>
      </c>
      <c r="I66" s="263">
        <f>H66*0.1806</f>
        <v>771.02474400000006</v>
      </c>
      <c r="J66" s="264">
        <f>H66*0.0245</f>
        <v>104.59638</v>
      </c>
      <c r="K66" s="248"/>
      <c r="L66" s="248"/>
      <c r="M66" s="248"/>
      <c r="N66" s="248"/>
      <c r="O66" s="248"/>
      <c r="P66" s="248"/>
      <c r="IN66" s="236"/>
    </row>
    <row r="67" spans="1:248" x14ac:dyDescent="0.25">
      <c r="A67" s="261" t="s">
        <v>44</v>
      </c>
      <c r="B67" s="262">
        <v>11500</v>
      </c>
      <c r="C67" s="263">
        <v>0</v>
      </c>
      <c r="D67" s="264">
        <v>0</v>
      </c>
      <c r="E67" s="262">
        <v>11097</v>
      </c>
      <c r="F67" s="355">
        <v>0</v>
      </c>
      <c r="G67" s="264">
        <v>0</v>
      </c>
      <c r="H67" s="262">
        <v>0</v>
      </c>
      <c r="I67" s="359">
        <v>0</v>
      </c>
      <c r="J67" s="360">
        <v>0</v>
      </c>
      <c r="K67" s="248"/>
      <c r="L67" s="248"/>
      <c r="M67" s="248"/>
      <c r="N67" s="248"/>
      <c r="O67" s="248"/>
      <c r="P67" s="248"/>
      <c r="IN67" s="236"/>
    </row>
    <row r="68" spans="1:248" x14ac:dyDescent="0.25">
      <c r="A68" s="261" t="s">
        <v>45</v>
      </c>
      <c r="B68" s="262">
        <v>0</v>
      </c>
      <c r="C68" s="263">
        <v>0</v>
      </c>
      <c r="D68" s="264">
        <v>0</v>
      </c>
      <c r="E68" s="262">
        <v>0</v>
      </c>
      <c r="F68" s="355">
        <v>0</v>
      </c>
      <c r="G68" s="264">
        <v>0</v>
      </c>
      <c r="H68" s="262">
        <v>0</v>
      </c>
      <c r="I68" s="359">
        <v>0</v>
      </c>
      <c r="J68" s="360">
        <v>0</v>
      </c>
      <c r="K68" s="248"/>
      <c r="L68" s="248"/>
      <c r="M68" s="248"/>
      <c r="N68" s="248"/>
      <c r="O68" s="248"/>
      <c r="P68" s="248"/>
      <c r="IN68" s="236"/>
    </row>
    <row r="69" spans="1:248" x14ac:dyDescent="0.25">
      <c r="A69" s="261" t="s">
        <v>46</v>
      </c>
      <c r="B69" s="262">
        <v>711</v>
      </c>
      <c r="C69" s="263">
        <v>0</v>
      </c>
      <c r="D69" s="264">
        <v>0</v>
      </c>
      <c r="E69" s="262">
        <v>710.99</v>
      </c>
      <c r="F69" s="355">
        <v>0</v>
      </c>
      <c r="G69" s="264">
        <v>0</v>
      </c>
      <c r="H69" s="262">
        <v>0</v>
      </c>
      <c r="I69" s="359">
        <v>0</v>
      </c>
      <c r="J69" s="360">
        <v>0</v>
      </c>
      <c r="K69" s="248"/>
      <c r="L69" s="248"/>
      <c r="M69" s="248"/>
      <c r="N69" s="248"/>
      <c r="O69" s="248"/>
      <c r="P69" s="248"/>
      <c r="IN69" s="236"/>
    </row>
    <row r="70" spans="1:248" x14ac:dyDescent="0.25">
      <c r="A70" s="261" t="s">
        <v>47</v>
      </c>
      <c r="B70" s="262">
        <v>4400</v>
      </c>
      <c r="C70" s="263">
        <v>0</v>
      </c>
      <c r="D70" s="264">
        <v>0</v>
      </c>
      <c r="E70" s="262">
        <v>4397.71</v>
      </c>
      <c r="F70" s="355">
        <v>0</v>
      </c>
      <c r="G70" s="264">
        <v>0</v>
      </c>
      <c r="H70" s="262">
        <v>0</v>
      </c>
      <c r="I70" s="359">
        <v>0</v>
      </c>
      <c r="J70" s="360">
        <v>0</v>
      </c>
      <c r="K70" s="248"/>
      <c r="L70" s="248"/>
      <c r="M70" s="248"/>
      <c r="N70" s="248"/>
      <c r="O70" s="248"/>
      <c r="P70" s="248"/>
      <c r="IN70" s="236"/>
    </row>
    <row r="71" spans="1:248" x14ac:dyDescent="0.25">
      <c r="A71" s="261" t="s">
        <v>48</v>
      </c>
      <c r="B71" s="262">
        <v>4050</v>
      </c>
      <c r="C71" s="263">
        <f>B71*0.1806</f>
        <v>731.43000000000006</v>
      </c>
      <c r="D71" s="264">
        <f>B71*0.0245</f>
        <v>99.225000000000009</v>
      </c>
      <c r="E71" s="262">
        <v>4049</v>
      </c>
      <c r="F71" s="355">
        <v>0</v>
      </c>
      <c r="G71" s="264">
        <v>0</v>
      </c>
      <c r="H71" s="262">
        <v>0</v>
      </c>
      <c r="I71" s="359">
        <v>0</v>
      </c>
      <c r="J71" s="360">
        <v>0</v>
      </c>
      <c r="K71" s="248"/>
      <c r="L71" s="248"/>
      <c r="M71" s="248"/>
      <c r="N71" s="248"/>
      <c r="O71" s="248"/>
      <c r="P71" s="248"/>
      <c r="IN71" s="236"/>
    </row>
    <row r="72" spans="1:248" x14ac:dyDescent="0.25">
      <c r="A72" s="291"/>
      <c r="B72" s="262">
        <v>0</v>
      </c>
      <c r="C72" s="263"/>
      <c r="D72" s="264"/>
      <c r="E72" s="262"/>
      <c r="F72" s="355">
        <v>0</v>
      </c>
      <c r="G72" s="264">
        <v>0</v>
      </c>
      <c r="H72" s="295">
        <v>0</v>
      </c>
      <c r="I72" s="361">
        <v>0</v>
      </c>
      <c r="J72" s="362">
        <v>0</v>
      </c>
      <c r="K72" s="248"/>
      <c r="L72" s="248"/>
      <c r="M72" s="248"/>
      <c r="N72" s="248"/>
      <c r="O72" s="248"/>
      <c r="P72" s="248"/>
      <c r="IN72" s="236"/>
    </row>
    <row r="73" spans="1:248" x14ac:dyDescent="0.25">
      <c r="A73" s="363" t="s">
        <v>8</v>
      </c>
      <c r="B73" s="364">
        <f t="shared" ref="B73:J73" si="11">SUM(B63:B72)</f>
        <v>54281</v>
      </c>
      <c r="C73" s="276">
        <f t="shared" si="11"/>
        <v>3884.7060000000001</v>
      </c>
      <c r="D73" s="277">
        <f t="shared" si="11"/>
        <v>526.995</v>
      </c>
      <c r="E73" s="364">
        <f t="shared" si="11"/>
        <v>42919.1</v>
      </c>
      <c r="F73" s="276">
        <f t="shared" si="11"/>
        <v>520.11</v>
      </c>
      <c r="G73" s="277">
        <f t="shared" si="11"/>
        <v>0</v>
      </c>
      <c r="H73" s="364">
        <f t="shared" si="11"/>
        <v>9498.48</v>
      </c>
      <c r="I73" s="276">
        <f t="shared" si="11"/>
        <v>944.40074400000003</v>
      </c>
      <c r="J73" s="277">
        <f t="shared" si="11"/>
        <v>104.59638</v>
      </c>
      <c r="K73" s="248"/>
      <c r="L73" s="248"/>
      <c r="M73" s="248"/>
      <c r="N73" s="248"/>
      <c r="O73" s="248"/>
      <c r="P73" s="248"/>
      <c r="IN73" s="236"/>
    </row>
    <row r="74" spans="1:248" x14ac:dyDescent="0.25">
      <c r="A74" s="248"/>
      <c r="B74" s="248"/>
      <c r="C74" s="248"/>
      <c r="D74" s="248"/>
      <c r="E74" s="248"/>
      <c r="I74" s="248"/>
      <c r="J74" s="248"/>
      <c r="K74" s="248"/>
      <c r="L74" s="248"/>
      <c r="M74" s="248"/>
      <c r="N74" s="248"/>
      <c r="O74" s="248"/>
      <c r="P74" s="248"/>
    </row>
    <row r="75" spans="1:248" x14ac:dyDescent="0.25">
      <c r="A75" s="457" t="s">
        <v>24</v>
      </c>
      <c r="B75" s="457"/>
      <c r="C75" s="457"/>
      <c r="D75" s="457"/>
      <c r="E75" s="457"/>
      <c r="I75" s="248"/>
      <c r="J75" s="248"/>
      <c r="K75" s="248"/>
      <c r="L75" s="248"/>
      <c r="M75" s="248"/>
      <c r="N75" s="248"/>
      <c r="O75" s="248"/>
      <c r="P75" s="248"/>
    </row>
    <row r="76" spans="1:248" x14ac:dyDescent="0.25">
      <c r="A76" s="365" t="s">
        <v>1</v>
      </c>
      <c r="B76" s="242" t="s">
        <v>49</v>
      </c>
      <c r="C76" s="242" t="s">
        <v>9</v>
      </c>
      <c r="D76" s="366" t="s">
        <v>34</v>
      </c>
      <c r="E76" s="242" t="s">
        <v>50</v>
      </c>
      <c r="I76" s="248"/>
      <c r="J76" s="248"/>
      <c r="K76" s="248"/>
      <c r="L76" s="248"/>
      <c r="M76" s="248"/>
      <c r="N76" s="248"/>
      <c r="O76" s="248"/>
      <c r="P76" s="248"/>
    </row>
    <row r="77" spans="1:248" x14ac:dyDescent="0.25">
      <c r="A77" s="367" t="s">
        <v>35</v>
      </c>
      <c r="B77" s="368">
        <v>3840</v>
      </c>
      <c r="C77" s="260">
        <f>B77*0.1806</f>
        <v>693.50400000000002</v>
      </c>
      <c r="D77" s="260">
        <f>B77*0.0245</f>
        <v>94.08</v>
      </c>
      <c r="E77" s="369"/>
      <c r="I77" s="248"/>
      <c r="J77" s="248"/>
      <c r="K77" s="248"/>
      <c r="L77" s="248"/>
      <c r="M77" s="248"/>
      <c r="N77" s="248"/>
      <c r="O77" s="248"/>
      <c r="P77" s="248"/>
    </row>
    <row r="78" spans="1:248" x14ac:dyDescent="0.25">
      <c r="A78" s="370" t="s">
        <v>39</v>
      </c>
      <c r="B78" s="265">
        <v>10000</v>
      </c>
      <c r="C78" s="265">
        <v>0</v>
      </c>
      <c r="D78" s="265">
        <v>0</v>
      </c>
      <c r="E78" s="371"/>
      <c r="I78" s="248"/>
      <c r="J78" s="248"/>
      <c r="K78" s="248"/>
      <c r="L78" s="248"/>
      <c r="M78" s="248"/>
      <c r="N78" s="248"/>
      <c r="O78" s="248"/>
      <c r="P78" s="248"/>
    </row>
    <row r="79" spans="1:248" x14ac:dyDescent="0.25">
      <c r="A79" s="370" t="s">
        <v>40</v>
      </c>
      <c r="B79" s="265">
        <v>0</v>
      </c>
      <c r="C79" s="265">
        <f>B79*0.1806</f>
        <v>0</v>
      </c>
      <c r="D79" s="265">
        <f>B79*0.0245</f>
        <v>0</v>
      </c>
      <c r="E79" s="371"/>
      <c r="I79" s="248"/>
      <c r="J79" s="248"/>
      <c r="K79" s="248"/>
      <c r="L79" s="248"/>
      <c r="M79" s="248"/>
      <c r="N79" s="248"/>
      <c r="O79" s="248"/>
      <c r="P79" s="248"/>
    </row>
    <row r="80" spans="1:248" x14ac:dyDescent="0.25">
      <c r="A80" s="370" t="s">
        <v>221</v>
      </c>
      <c r="B80" s="265">
        <v>14040</v>
      </c>
      <c r="C80" s="265">
        <v>0</v>
      </c>
      <c r="D80" s="265">
        <v>0</v>
      </c>
      <c r="E80" s="371"/>
      <c r="K80" s="236"/>
      <c r="L80" s="238"/>
    </row>
    <row r="81" spans="1:247" x14ac:dyDescent="0.25">
      <c r="A81" s="370" t="s">
        <v>44</v>
      </c>
      <c r="B81" s="265">
        <v>11500</v>
      </c>
      <c r="C81" s="265">
        <f>B81*0.1806</f>
        <v>2076.9</v>
      </c>
      <c r="D81" s="265">
        <f>B81*0.0245</f>
        <v>281.75</v>
      </c>
      <c r="E81" s="371"/>
      <c r="K81" s="236"/>
      <c r="L81" s="238"/>
    </row>
    <row r="82" spans="1:247" x14ac:dyDescent="0.25">
      <c r="A82" s="370" t="s">
        <v>45</v>
      </c>
      <c r="B82" s="265">
        <v>2000</v>
      </c>
      <c r="C82" s="265">
        <v>0</v>
      </c>
      <c r="D82" s="265">
        <v>0</v>
      </c>
      <c r="E82" s="371"/>
      <c r="K82" s="236"/>
      <c r="L82" s="238"/>
    </row>
    <row r="83" spans="1:247" x14ac:dyDescent="0.25">
      <c r="A83" s="370" t="s">
        <v>46</v>
      </c>
      <c r="B83" s="265">
        <v>2000</v>
      </c>
      <c r="C83" s="265">
        <v>0</v>
      </c>
      <c r="D83" s="265">
        <v>0</v>
      </c>
      <c r="E83" s="371"/>
      <c r="I83" s="248"/>
      <c r="J83" s="248"/>
      <c r="K83" s="248"/>
      <c r="L83" s="248"/>
    </row>
    <row r="84" spans="1:247" x14ac:dyDescent="0.25">
      <c r="A84" s="370" t="s">
        <v>47</v>
      </c>
      <c r="B84" s="265">
        <v>4500</v>
      </c>
      <c r="C84" s="265">
        <f>B84*0.1806</f>
        <v>812.7</v>
      </c>
      <c r="D84" s="265">
        <f>B84*0.0245</f>
        <v>110.25</v>
      </c>
      <c r="E84" s="371"/>
      <c r="H84" s="238"/>
      <c r="I84" s="248"/>
      <c r="J84" s="248"/>
      <c r="K84" s="248"/>
      <c r="L84" s="248"/>
      <c r="IK84" s="239"/>
      <c r="IL84" s="239"/>
      <c r="IM84" s="239"/>
    </row>
    <row r="85" spans="1:247" x14ac:dyDescent="0.25">
      <c r="A85" s="370" t="s">
        <v>48</v>
      </c>
      <c r="B85" s="265">
        <v>2000</v>
      </c>
      <c r="C85" s="265">
        <f>B85*0.1806</f>
        <v>361.20000000000005</v>
      </c>
      <c r="D85" s="265">
        <f>B85*0.0245</f>
        <v>49</v>
      </c>
      <c r="E85" s="371"/>
      <c r="H85" s="238"/>
      <c r="I85" s="248"/>
      <c r="J85" s="248"/>
      <c r="K85" s="248"/>
      <c r="L85" s="248"/>
      <c r="IK85" s="239"/>
      <c r="IL85" s="239"/>
      <c r="IM85" s="239"/>
    </row>
    <row r="86" spans="1:247" x14ac:dyDescent="0.25">
      <c r="A86" s="372" t="s">
        <v>222</v>
      </c>
      <c r="B86" s="373">
        <v>0</v>
      </c>
      <c r="C86" s="265">
        <v>0</v>
      </c>
      <c r="D86" s="265">
        <v>0</v>
      </c>
      <c r="E86" s="374"/>
      <c r="H86" s="238"/>
      <c r="I86" s="248"/>
      <c r="J86" s="248"/>
      <c r="K86" s="248"/>
      <c r="L86" s="248"/>
      <c r="IK86" s="239"/>
      <c r="IL86" s="239"/>
      <c r="IM86" s="239"/>
    </row>
    <row r="87" spans="1:247" x14ac:dyDescent="0.25">
      <c r="A87" s="372" t="s">
        <v>223</v>
      </c>
      <c r="B87" s="373">
        <v>7020</v>
      </c>
      <c r="C87" s="265">
        <v>0</v>
      </c>
      <c r="D87" s="265">
        <v>0</v>
      </c>
      <c r="E87" s="374"/>
      <c r="H87" s="238"/>
      <c r="I87" s="248"/>
      <c r="J87" s="248"/>
      <c r="K87" s="248"/>
      <c r="L87" s="248"/>
      <c r="IK87" s="239"/>
      <c r="IL87" s="239"/>
      <c r="IM87" s="239"/>
    </row>
    <row r="88" spans="1:247" x14ac:dyDescent="0.25">
      <c r="A88" s="372"/>
      <c r="B88" s="373"/>
      <c r="C88" s="265"/>
      <c r="D88" s="265"/>
      <c r="E88" s="374"/>
      <c r="H88" s="238"/>
      <c r="I88" s="248"/>
      <c r="J88" s="248"/>
      <c r="K88" s="248"/>
      <c r="L88" s="248"/>
      <c r="IK88" s="239"/>
      <c r="IL88" s="239"/>
      <c r="IM88" s="239"/>
    </row>
    <row r="89" spans="1:247" x14ac:dyDescent="0.25">
      <c r="A89" s="375"/>
      <c r="B89" s="273"/>
      <c r="C89" s="265"/>
      <c r="D89" s="265"/>
      <c r="E89" s="376"/>
      <c r="H89" s="238"/>
      <c r="I89" s="248"/>
      <c r="J89" s="248"/>
      <c r="K89" s="248"/>
      <c r="L89" s="248"/>
      <c r="IK89" s="239"/>
      <c r="IL89" s="239"/>
      <c r="IM89" s="239"/>
    </row>
    <row r="90" spans="1:247" x14ac:dyDescent="0.25">
      <c r="A90" s="363" t="s">
        <v>8</v>
      </c>
      <c r="B90" s="377">
        <f>SUM(B77:B89)</f>
        <v>56900</v>
      </c>
      <c r="C90" s="377">
        <f>SUM(C77:C89)</f>
        <v>3944.3040000000001</v>
      </c>
      <c r="D90" s="377">
        <f>SUM(D77:D89)</f>
        <v>535.07999999999993</v>
      </c>
      <c r="E90" s="377">
        <f>SUM(E77:E89)</f>
        <v>0</v>
      </c>
      <c r="H90" s="238"/>
      <c r="I90" s="248"/>
      <c r="J90" s="248"/>
      <c r="K90" s="248"/>
      <c r="L90" s="248"/>
      <c r="IK90" s="239"/>
      <c r="IL90" s="239"/>
      <c r="IM90" s="239"/>
    </row>
    <row r="91" spans="1:247" x14ac:dyDescent="0.25">
      <c r="H91" s="238"/>
      <c r="K91" s="236"/>
      <c r="IK91" s="239"/>
      <c r="IL91" s="239"/>
      <c r="IM91" s="239"/>
    </row>
    <row r="92" spans="1:247" x14ac:dyDescent="0.25">
      <c r="A92" s="463" t="s">
        <v>27</v>
      </c>
      <c r="B92" s="463"/>
      <c r="C92" s="463"/>
      <c r="D92" s="463"/>
      <c r="E92" s="463"/>
      <c r="F92" s="463"/>
      <c r="G92" s="463"/>
      <c r="H92" s="463"/>
      <c r="K92" s="236"/>
      <c r="IK92" s="239"/>
      <c r="IL92" s="239"/>
      <c r="IM92" s="239"/>
    </row>
    <row r="93" spans="1:247" x14ac:dyDescent="0.25">
      <c r="A93" s="458" t="s">
        <v>36</v>
      </c>
      <c r="B93" s="458"/>
      <c r="C93" s="461" t="s">
        <v>0</v>
      </c>
      <c r="D93" s="461"/>
      <c r="E93" s="464" t="s">
        <v>37</v>
      </c>
      <c r="F93" s="464"/>
      <c r="G93" s="465" t="s">
        <v>224</v>
      </c>
      <c r="H93" s="465"/>
      <c r="K93" s="236"/>
      <c r="IK93" s="239"/>
      <c r="IL93" s="239"/>
      <c r="IM93" s="239"/>
    </row>
    <row r="94" spans="1:247" x14ac:dyDescent="0.25">
      <c r="A94" s="458"/>
      <c r="B94" s="458"/>
      <c r="C94" s="378" t="s">
        <v>9</v>
      </c>
      <c r="D94" s="379" t="s">
        <v>10</v>
      </c>
      <c r="E94" s="378" t="s">
        <v>9</v>
      </c>
      <c r="F94" s="379" t="s">
        <v>10</v>
      </c>
      <c r="G94" s="378" t="s">
        <v>9</v>
      </c>
      <c r="H94" s="379" t="s">
        <v>10</v>
      </c>
    </row>
    <row r="95" spans="1:247" x14ac:dyDescent="0.25">
      <c r="A95" s="460" t="s">
        <v>41</v>
      </c>
      <c r="B95" s="460"/>
      <c r="C95" s="257">
        <f>I13+C73</f>
        <v>49769.748</v>
      </c>
      <c r="D95" s="259">
        <f>J13+D73</f>
        <v>6751.7099999999991</v>
      </c>
      <c r="E95" s="257">
        <v>32579.54</v>
      </c>
      <c r="F95" s="259">
        <v>2020.98</v>
      </c>
      <c r="G95" s="356">
        <f>K42</f>
        <v>3818.888136</v>
      </c>
      <c r="H95" s="357">
        <f>L42</f>
        <v>309.71988600000003</v>
      </c>
    </row>
    <row r="96" spans="1:247" x14ac:dyDescent="0.25">
      <c r="A96" s="460" t="s">
        <v>43</v>
      </c>
      <c r="B96" s="460"/>
      <c r="C96" s="295">
        <f>C73</f>
        <v>3884.7060000000001</v>
      </c>
      <c r="D96" s="294">
        <f>D73</f>
        <v>526.995</v>
      </c>
      <c r="E96" s="295">
        <v>520.11</v>
      </c>
      <c r="F96" s="294"/>
      <c r="G96" s="380">
        <f>I73</f>
        <v>944.40074400000003</v>
      </c>
      <c r="H96" s="362">
        <f>J73</f>
        <v>104.59638</v>
      </c>
    </row>
    <row r="97" spans="1:8" x14ac:dyDescent="0.25">
      <c r="A97" s="466" t="s">
        <v>8</v>
      </c>
      <c r="B97" s="466"/>
      <c r="C97" s="381">
        <f t="shared" ref="C97:H97" si="12">C95+C96</f>
        <v>53654.453999999998</v>
      </c>
      <c r="D97" s="382">
        <f t="shared" si="12"/>
        <v>7278.704999999999</v>
      </c>
      <c r="E97" s="383">
        <f t="shared" si="12"/>
        <v>33099.65</v>
      </c>
      <c r="F97" s="384">
        <f t="shared" si="12"/>
        <v>2020.98</v>
      </c>
      <c r="G97" s="383">
        <f t="shared" si="12"/>
        <v>4763.2888800000001</v>
      </c>
      <c r="H97" s="384">
        <f t="shared" si="12"/>
        <v>414.31626600000004</v>
      </c>
    </row>
    <row r="98" spans="1:8" x14ac:dyDescent="0.25">
      <c r="A98" s="458" t="s">
        <v>36</v>
      </c>
      <c r="B98" s="458"/>
      <c r="C98" s="458" t="s">
        <v>38</v>
      </c>
      <c r="D98" s="458"/>
    </row>
    <row r="99" spans="1:8" x14ac:dyDescent="0.25">
      <c r="A99" s="458"/>
      <c r="B99" s="458"/>
      <c r="C99" s="378" t="s">
        <v>9</v>
      </c>
      <c r="D99" s="379" t="s">
        <v>10</v>
      </c>
    </row>
    <row r="100" spans="1:8" x14ac:dyDescent="0.25">
      <c r="A100" s="460" t="s">
        <v>41</v>
      </c>
      <c r="B100" s="460"/>
      <c r="C100" s="304">
        <f>L58</f>
        <v>57521.620128000002</v>
      </c>
      <c r="D100" s="303">
        <f>M58</f>
        <v>4388.0024300000005</v>
      </c>
    </row>
    <row r="101" spans="1:8" x14ac:dyDescent="0.25">
      <c r="A101" s="460" t="s">
        <v>43</v>
      </c>
      <c r="B101" s="460"/>
      <c r="C101" s="295">
        <f>C90</f>
        <v>3944.3040000000001</v>
      </c>
      <c r="D101" s="294">
        <f>D90</f>
        <v>535.07999999999993</v>
      </c>
    </row>
    <row r="102" spans="1:8" x14ac:dyDescent="0.25">
      <c r="A102" s="466" t="s">
        <v>8</v>
      </c>
      <c r="B102" s="466"/>
      <c r="C102" s="384">
        <f>C100+C101</f>
        <v>61465.924127999999</v>
      </c>
      <c r="D102" s="384">
        <f>D100+D101</f>
        <v>4923.0824300000004</v>
      </c>
    </row>
  </sheetData>
  <sheetProtection selectLockedCells="1" selectUnlockedCells="1"/>
  <mergeCells count="31">
    <mergeCell ref="A101:B101"/>
    <mergeCell ref="A102:B102"/>
    <mergeCell ref="A95:B95"/>
    <mergeCell ref="A96:B96"/>
    <mergeCell ref="A97:B97"/>
    <mergeCell ref="A98:B99"/>
    <mergeCell ref="C98:D98"/>
    <mergeCell ref="A100:B100"/>
    <mergeCell ref="B61:D61"/>
    <mergeCell ref="E61:G61"/>
    <mergeCell ref="H61:J61"/>
    <mergeCell ref="A75:E75"/>
    <mergeCell ref="A92:H92"/>
    <mergeCell ref="A93:B94"/>
    <mergeCell ref="C93:D93"/>
    <mergeCell ref="E93:F93"/>
    <mergeCell ref="G93:H93"/>
    <mergeCell ref="E59:G59"/>
    <mergeCell ref="H59:J59"/>
    <mergeCell ref="A1:J1"/>
    <mergeCell ref="B16:J16"/>
    <mergeCell ref="K16:L16"/>
    <mergeCell ref="B29:F29"/>
    <mergeCell ref="G29:H29"/>
    <mergeCell ref="B30:J30"/>
    <mergeCell ref="K30:L30"/>
    <mergeCell ref="H33:H41"/>
    <mergeCell ref="A46:M46"/>
    <mergeCell ref="B47:D47"/>
    <mergeCell ref="E47:K47"/>
    <mergeCell ref="L47:M47"/>
  </mergeCells>
  <pageMargins left="0.78749999999999998" right="0.78749999999999998" top="0.94513888888888886" bottom="0.78749999999999998" header="0.78749999999999998" footer="0.51180555555555551"/>
  <pageSetup paperSize="9" firstPageNumber="0" fitToHeight="0" orientation="landscape" horizontalDpi="300" verticalDpi="300"/>
  <headerFooter alignWithMargins="0">
    <oddHeader>&amp;C&amp;"Times New Roman,Normalny"&amp;12&amp;A</oddHeader>
  </headerFooter>
  <rowBreaks count="3" manualBreakCount="3">
    <brk id="29" max="16383" man="1"/>
    <brk id="60" max="16383" man="1"/>
    <brk id="90" max="16383" man="1"/>
  </rowBreaks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3"/>
  <sheetViews>
    <sheetView topLeftCell="A57" workbookViewId="0">
      <selection activeCell="F86" sqref="F86"/>
    </sheetView>
  </sheetViews>
  <sheetFormatPr defaultColWidth="11.5703125" defaultRowHeight="12.75" x14ac:dyDescent="0.2"/>
  <cols>
    <col min="1" max="1" width="17" style="151" customWidth="1"/>
    <col min="2" max="2" width="15" style="152" customWidth="1"/>
    <col min="3" max="3" width="35.28515625" style="153" customWidth="1"/>
    <col min="4" max="5" width="18.28515625" style="151" customWidth="1"/>
    <col min="6" max="6" width="19.85546875" style="151" customWidth="1"/>
    <col min="7" max="7" width="20.28515625" style="154" customWidth="1"/>
    <col min="8" max="8" width="15.140625" style="154" customWidth="1"/>
    <col min="9" max="9" width="19.5703125" style="154" customWidth="1"/>
    <col min="10" max="10" width="15.5703125" style="154" customWidth="1"/>
    <col min="11" max="11" width="15.140625" style="151" customWidth="1"/>
    <col min="12" max="12" width="14.7109375" style="151" customWidth="1"/>
    <col min="13" max="13" width="16" style="151" customWidth="1"/>
    <col min="14" max="14" width="13.42578125" style="151" customWidth="1"/>
    <col min="15" max="15" width="15.140625" style="151" customWidth="1"/>
    <col min="16" max="16" width="13.42578125" style="151" customWidth="1"/>
    <col min="17" max="17" width="16.7109375" style="151" customWidth="1"/>
    <col min="18" max="18" width="14.5703125" style="151" customWidth="1"/>
    <col min="19" max="19" width="16" style="151" customWidth="1"/>
    <col min="20" max="20" width="14.85546875" style="151" customWidth="1"/>
    <col min="21" max="21" width="16.28515625" style="151" customWidth="1"/>
    <col min="22" max="22" width="14.85546875" style="151" customWidth="1"/>
    <col min="23" max="23" width="15.140625" style="151" customWidth="1"/>
    <col min="24" max="24" width="14.42578125" style="151" customWidth="1"/>
    <col min="25" max="25" width="16.28515625" style="151" customWidth="1"/>
    <col min="26" max="26" width="15.5703125" style="151" customWidth="1"/>
    <col min="27" max="27" width="16.28515625" style="151" customWidth="1"/>
    <col min="28" max="28" width="15.85546875" style="151" customWidth="1"/>
    <col min="29" max="29" width="19.7109375" style="155" customWidth="1"/>
    <col min="30" max="16384" width="11.5703125" style="151"/>
  </cols>
  <sheetData>
    <row r="1" spans="1:29" ht="17.100000000000001" customHeight="1" x14ac:dyDescent="0.2">
      <c r="A1" s="157" t="s">
        <v>225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</row>
    <row r="2" spans="1:29" s="162" customFormat="1" ht="12.75" customHeight="1" x14ac:dyDescent="0.2">
      <c r="A2" s="436" t="s">
        <v>76</v>
      </c>
      <c r="B2" s="437" t="s">
        <v>77</v>
      </c>
      <c r="C2" s="438" t="s">
        <v>78</v>
      </c>
      <c r="D2" s="158"/>
      <c r="E2" s="159"/>
      <c r="F2" s="160"/>
      <c r="G2" s="159"/>
      <c r="H2" s="159"/>
      <c r="I2" s="159"/>
      <c r="J2" s="159"/>
      <c r="K2" s="159"/>
      <c r="L2" s="159"/>
      <c r="M2" s="159"/>
      <c r="N2" s="159"/>
      <c r="O2" s="159"/>
      <c r="P2" s="159" t="s">
        <v>79</v>
      </c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60"/>
      <c r="AC2" s="161"/>
    </row>
    <row r="3" spans="1:29" s="162" customFormat="1" ht="12.75" customHeight="1" x14ac:dyDescent="0.2">
      <c r="A3" s="436"/>
      <c r="B3" s="437"/>
      <c r="C3" s="438"/>
      <c r="D3" s="439" t="s">
        <v>8</v>
      </c>
      <c r="E3" s="439"/>
      <c r="F3" s="439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6"/>
      <c r="AC3" s="161"/>
    </row>
    <row r="4" spans="1:29" s="162" customFormat="1" ht="12.75" customHeight="1" x14ac:dyDescent="0.2">
      <c r="A4" s="436"/>
      <c r="B4" s="437"/>
      <c r="C4" s="438"/>
      <c r="D4" s="439"/>
      <c r="E4" s="439"/>
      <c r="F4" s="439"/>
      <c r="G4" s="467" t="s">
        <v>80</v>
      </c>
      <c r="H4" s="467"/>
      <c r="I4" s="444" t="s">
        <v>81</v>
      </c>
      <c r="J4" s="444"/>
      <c r="K4" s="444" t="s">
        <v>82</v>
      </c>
      <c r="L4" s="444"/>
      <c r="M4" s="444"/>
      <c r="N4" s="444"/>
      <c r="O4" s="444"/>
      <c r="P4" s="444"/>
      <c r="Q4" s="444"/>
      <c r="R4" s="444"/>
      <c r="S4" s="445" t="s">
        <v>83</v>
      </c>
      <c r="T4" s="445"/>
      <c r="U4" s="445"/>
      <c r="V4" s="445"/>
      <c r="W4" s="445"/>
      <c r="X4" s="445"/>
      <c r="Y4" s="445"/>
      <c r="Z4" s="445"/>
      <c r="AA4" s="445"/>
      <c r="AB4" s="445"/>
      <c r="AC4" s="161"/>
    </row>
    <row r="5" spans="1:29" s="168" customFormat="1" ht="12.75" customHeight="1" x14ac:dyDescent="0.2">
      <c r="A5" s="436"/>
      <c r="B5" s="437"/>
      <c r="C5" s="438"/>
      <c r="D5" s="439"/>
      <c r="E5" s="439"/>
      <c r="F5" s="439"/>
      <c r="G5" s="467"/>
      <c r="H5" s="467"/>
      <c r="I5" s="444"/>
      <c r="J5" s="444"/>
      <c r="K5" s="440" t="s">
        <v>84</v>
      </c>
      <c r="L5" s="440"/>
      <c r="M5" s="440" t="s">
        <v>85</v>
      </c>
      <c r="N5" s="440"/>
      <c r="O5" s="440" t="s">
        <v>86</v>
      </c>
      <c r="P5" s="440"/>
      <c r="Q5" s="440" t="s">
        <v>87</v>
      </c>
      <c r="R5" s="440"/>
      <c r="S5" s="440" t="s">
        <v>88</v>
      </c>
      <c r="T5" s="440"/>
      <c r="U5" s="440" t="s">
        <v>89</v>
      </c>
      <c r="V5" s="440"/>
      <c r="W5" s="440" t="s">
        <v>90</v>
      </c>
      <c r="X5" s="440"/>
      <c r="Y5" s="440" t="s">
        <v>91</v>
      </c>
      <c r="Z5" s="440"/>
      <c r="AA5" s="440" t="s">
        <v>92</v>
      </c>
      <c r="AB5" s="440"/>
      <c r="AC5" s="167"/>
    </row>
    <row r="6" spans="1:29" s="168" customFormat="1" ht="48" customHeight="1" x14ac:dyDescent="0.2">
      <c r="A6" s="436"/>
      <c r="B6" s="437"/>
      <c r="C6" s="438"/>
      <c r="D6" s="169" t="s">
        <v>226</v>
      </c>
      <c r="E6" s="171" t="s">
        <v>227</v>
      </c>
      <c r="F6" s="163" t="s">
        <v>228</v>
      </c>
      <c r="G6" s="385" t="s">
        <v>226</v>
      </c>
      <c r="H6" s="386" t="s">
        <v>228</v>
      </c>
      <c r="I6" s="385" t="s">
        <v>226</v>
      </c>
      <c r="J6" s="173" t="s">
        <v>228</v>
      </c>
      <c r="K6" s="385" t="s">
        <v>226</v>
      </c>
      <c r="L6" s="173" t="s">
        <v>228</v>
      </c>
      <c r="M6" s="172" t="s">
        <v>226</v>
      </c>
      <c r="N6" s="173" t="s">
        <v>228</v>
      </c>
      <c r="O6" s="172" t="s">
        <v>226</v>
      </c>
      <c r="P6" s="173" t="s">
        <v>228</v>
      </c>
      <c r="Q6" s="172" t="s">
        <v>226</v>
      </c>
      <c r="R6" s="173" t="s">
        <v>228</v>
      </c>
      <c r="S6" s="385" t="s">
        <v>226</v>
      </c>
      <c r="T6" s="173" t="s">
        <v>228</v>
      </c>
      <c r="U6" s="172" t="s">
        <v>226</v>
      </c>
      <c r="V6" s="173" t="s">
        <v>228</v>
      </c>
      <c r="W6" s="172" t="s">
        <v>226</v>
      </c>
      <c r="X6" s="173" t="s">
        <v>228</v>
      </c>
      <c r="Y6" s="172" t="s">
        <v>226</v>
      </c>
      <c r="Z6" s="173" t="s">
        <v>228</v>
      </c>
      <c r="AA6" s="172" t="s">
        <v>226</v>
      </c>
      <c r="AB6" s="173" t="s">
        <v>228</v>
      </c>
      <c r="AC6" s="167"/>
    </row>
    <row r="7" spans="1:29" ht="12.75" customHeight="1" x14ac:dyDescent="0.2">
      <c r="A7" s="441">
        <v>400</v>
      </c>
      <c r="B7" s="442" t="s">
        <v>97</v>
      </c>
      <c r="C7" s="442"/>
      <c r="D7" s="175">
        <f t="shared" ref="D7:D28" si="0">G7+I7+K7+M7+O7+Q7+S7+U7+W7+Y7+AA7</f>
        <v>91969</v>
      </c>
      <c r="E7" s="176">
        <f>SUM(E8:E12)</f>
        <v>21668.95</v>
      </c>
      <c r="F7" s="177">
        <f t="shared" ref="F7:F28" si="1">H7+J7+L7+N7+P7+R7+T7+V7+X7+Z7+AB7</f>
        <v>0</v>
      </c>
      <c r="G7" s="179">
        <f t="shared" ref="G7:AB7" si="2">SUM(G8:G12)</f>
        <v>88332</v>
      </c>
      <c r="H7" s="387">
        <f t="shared" si="2"/>
        <v>0</v>
      </c>
      <c r="I7" s="179">
        <f t="shared" si="2"/>
        <v>0</v>
      </c>
      <c r="J7" s="199">
        <f t="shared" si="2"/>
        <v>0</v>
      </c>
      <c r="K7" s="179">
        <f t="shared" si="2"/>
        <v>0</v>
      </c>
      <c r="L7" s="178">
        <f t="shared" si="2"/>
        <v>0</v>
      </c>
      <c r="M7" s="179">
        <f t="shared" si="2"/>
        <v>0</v>
      </c>
      <c r="N7" s="178">
        <f t="shared" si="2"/>
        <v>0</v>
      </c>
      <c r="O7" s="179">
        <f t="shared" si="2"/>
        <v>0</v>
      </c>
      <c r="P7" s="178">
        <f t="shared" si="2"/>
        <v>0</v>
      </c>
      <c r="Q7" s="179">
        <f t="shared" si="2"/>
        <v>0</v>
      </c>
      <c r="R7" s="199">
        <f t="shared" si="2"/>
        <v>0</v>
      </c>
      <c r="S7" s="179">
        <f t="shared" si="2"/>
        <v>0</v>
      </c>
      <c r="T7" s="178">
        <f t="shared" si="2"/>
        <v>0</v>
      </c>
      <c r="U7" s="179">
        <f t="shared" si="2"/>
        <v>3637</v>
      </c>
      <c r="V7" s="178">
        <f t="shared" si="2"/>
        <v>0</v>
      </c>
      <c r="W7" s="179">
        <f t="shared" si="2"/>
        <v>0</v>
      </c>
      <c r="X7" s="178">
        <f t="shared" si="2"/>
        <v>0</v>
      </c>
      <c r="Y7" s="179">
        <f t="shared" si="2"/>
        <v>0</v>
      </c>
      <c r="Z7" s="178">
        <f t="shared" si="2"/>
        <v>0</v>
      </c>
      <c r="AA7" s="179">
        <f t="shared" si="2"/>
        <v>0</v>
      </c>
      <c r="AB7" s="199">
        <f t="shared" si="2"/>
        <v>0</v>
      </c>
    </row>
    <row r="8" spans="1:29" x14ac:dyDescent="0.2">
      <c r="A8" s="441"/>
      <c r="B8" s="180" t="s">
        <v>98</v>
      </c>
      <c r="C8" s="181" t="s">
        <v>229</v>
      </c>
      <c r="D8" s="182">
        <f t="shared" si="0"/>
        <v>66332</v>
      </c>
      <c r="E8" s="183">
        <v>0</v>
      </c>
      <c r="F8" s="184">
        <f t="shared" si="1"/>
        <v>0</v>
      </c>
      <c r="G8" s="187">
        <v>66332</v>
      </c>
      <c r="H8" s="388"/>
      <c r="I8" s="187"/>
      <c r="J8" s="186"/>
      <c r="K8" s="187"/>
      <c r="L8" s="186"/>
      <c r="M8" s="187"/>
      <c r="N8" s="186"/>
      <c r="O8" s="187"/>
      <c r="P8" s="186"/>
      <c r="Q8" s="187"/>
      <c r="R8" s="186"/>
      <c r="S8" s="187"/>
      <c r="T8" s="186"/>
      <c r="U8" s="187"/>
      <c r="V8" s="186"/>
      <c r="W8" s="187"/>
      <c r="X8" s="186"/>
      <c r="Y8" s="187"/>
      <c r="Z8" s="186"/>
      <c r="AA8" s="187"/>
      <c r="AB8" s="186"/>
    </row>
    <row r="9" spans="1:29" x14ac:dyDescent="0.2">
      <c r="A9" s="441"/>
      <c r="B9" s="180" t="s">
        <v>100</v>
      </c>
      <c r="C9" s="181" t="s">
        <v>101</v>
      </c>
      <c r="D9" s="182">
        <f t="shared" si="0"/>
        <v>0</v>
      </c>
      <c r="E9" s="183">
        <v>0</v>
      </c>
      <c r="F9" s="184">
        <f t="shared" si="1"/>
        <v>0</v>
      </c>
      <c r="G9" s="187"/>
      <c r="H9" s="388"/>
      <c r="I9" s="187"/>
      <c r="J9" s="186"/>
      <c r="K9" s="187"/>
      <c r="L9" s="186"/>
      <c r="M9" s="187"/>
      <c r="N9" s="186"/>
      <c r="O9" s="187"/>
      <c r="P9" s="186"/>
      <c r="Q9" s="187"/>
      <c r="R9" s="186"/>
      <c r="S9" s="187"/>
      <c r="T9" s="186"/>
      <c r="U9" s="187"/>
      <c r="V9" s="186"/>
      <c r="W9" s="187"/>
      <c r="X9" s="186"/>
      <c r="Y9" s="187"/>
      <c r="Z9" s="186"/>
      <c r="AA9" s="187"/>
      <c r="AB9" s="186"/>
    </row>
    <row r="10" spans="1:29" x14ac:dyDescent="0.2">
      <c r="A10" s="441"/>
      <c r="B10" s="180" t="s">
        <v>102</v>
      </c>
      <c r="C10" s="181" t="s">
        <v>103</v>
      </c>
      <c r="D10" s="182">
        <f t="shared" si="0"/>
        <v>25637</v>
      </c>
      <c r="E10" s="183">
        <v>21668.95</v>
      </c>
      <c r="F10" s="184">
        <f t="shared" si="1"/>
        <v>0</v>
      </c>
      <c r="G10" s="187">
        <v>22000</v>
      </c>
      <c r="H10" s="388"/>
      <c r="I10" s="187"/>
      <c r="J10" s="188"/>
      <c r="K10" s="187"/>
      <c r="L10" s="188"/>
      <c r="M10" s="187"/>
      <c r="N10" s="188"/>
      <c r="O10" s="187"/>
      <c r="P10" s="188"/>
      <c r="Q10" s="187"/>
      <c r="R10" s="188"/>
      <c r="S10" s="187"/>
      <c r="T10" s="188"/>
      <c r="U10" s="187">
        <v>3637</v>
      </c>
      <c r="V10" s="189"/>
      <c r="W10" s="187"/>
      <c r="X10" s="188"/>
      <c r="Y10" s="187"/>
      <c r="Z10" s="188"/>
      <c r="AA10" s="187"/>
      <c r="AB10" s="188"/>
    </row>
    <row r="11" spans="1:29" x14ac:dyDescent="0.2">
      <c r="A11" s="441"/>
      <c r="B11" s="180" t="s">
        <v>104</v>
      </c>
      <c r="C11" s="181" t="s">
        <v>105</v>
      </c>
      <c r="D11" s="182">
        <f t="shared" si="0"/>
        <v>0</v>
      </c>
      <c r="E11" s="183">
        <v>0</v>
      </c>
      <c r="F11" s="184">
        <f t="shared" si="1"/>
        <v>0</v>
      </c>
      <c r="G11" s="187"/>
      <c r="H11" s="388"/>
      <c r="I11" s="187"/>
      <c r="J11" s="186"/>
      <c r="K11" s="187"/>
      <c r="L11" s="186"/>
      <c r="M11" s="187"/>
      <c r="N11" s="186"/>
      <c r="O11" s="187"/>
      <c r="P11" s="186"/>
      <c r="Q11" s="187"/>
      <c r="R11" s="186"/>
      <c r="S11" s="187"/>
      <c r="T11" s="186"/>
      <c r="U11" s="187"/>
      <c r="V11" s="186"/>
      <c r="W11" s="187"/>
      <c r="X11" s="186"/>
      <c r="Y11" s="187"/>
      <c r="Z11" s="186"/>
      <c r="AA11" s="187"/>
      <c r="AB11" s="186"/>
    </row>
    <row r="12" spans="1:29" x14ac:dyDescent="0.2">
      <c r="A12" s="441"/>
      <c r="B12" s="190" t="s">
        <v>106</v>
      </c>
      <c r="C12" s="191" t="s">
        <v>107</v>
      </c>
      <c r="D12" s="192">
        <f t="shared" si="0"/>
        <v>0</v>
      </c>
      <c r="E12" s="193">
        <v>0</v>
      </c>
      <c r="F12" s="194">
        <f t="shared" si="1"/>
        <v>0</v>
      </c>
      <c r="G12" s="389"/>
      <c r="H12" s="390"/>
      <c r="I12" s="197"/>
      <c r="J12" s="196"/>
      <c r="K12" s="197"/>
      <c r="L12" s="196"/>
      <c r="M12" s="197"/>
      <c r="N12" s="196"/>
      <c r="O12" s="197"/>
      <c r="P12" s="196"/>
      <c r="Q12" s="197"/>
      <c r="R12" s="196"/>
      <c r="S12" s="197"/>
      <c r="T12" s="196"/>
      <c r="U12" s="197"/>
      <c r="V12" s="196"/>
      <c r="W12" s="197"/>
      <c r="X12" s="196"/>
      <c r="Y12" s="197"/>
      <c r="Z12" s="196"/>
      <c r="AA12" s="197"/>
      <c r="AB12" s="196"/>
    </row>
    <row r="13" spans="1:29" ht="12.75" customHeight="1" x14ac:dyDescent="0.2">
      <c r="A13" s="441">
        <v>411</v>
      </c>
      <c r="B13" s="443" t="s">
        <v>108</v>
      </c>
      <c r="C13" s="443"/>
      <c r="D13" s="175">
        <f t="shared" si="0"/>
        <v>110412</v>
      </c>
      <c r="E13" s="198">
        <f>SUM(E14:E29)</f>
        <v>61669.04</v>
      </c>
      <c r="F13" s="177">
        <f t="shared" si="1"/>
        <v>105755</v>
      </c>
      <c r="G13" s="179">
        <f t="shared" ref="G13:U13" si="3">SUM(G14:G28)</f>
        <v>34697</v>
      </c>
      <c r="H13" s="387">
        <f t="shared" si="3"/>
        <v>31411</v>
      </c>
      <c r="I13" s="179">
        <f t="shared" si="3"/>
        <v>41500</v>
      </c>
      <c r="J13" s="199">
        <f t="shared" si="3"/>
        <v>40500</v>
      </c>
      <c r="K13" s="179">
        <f t="shared" si="3"/>
        <v>7830</v>
      </c>
      <c r="L13" s="199">
        <f t="shared" si="3"/>
        <v>6623</v>
      </c>
      <c r="M13" s="179">
        <f t="shared" si="3"/>
        <v>875</v>
      </c>
      <c r="N13" s="199">
        <f t="shared" si="3"/>
        <v>875</v>
      </c>
      <c r="O13" s="179">
        <f t="shared" si="3"/>
        <v>2289</v>
      </c>
      <c r="P13" s="199">
        <f t="shared" si="3"/>
        <v>2289</v>
      </c>
      <c r="Q13" s="179">
        <f t="shared" si="3"/>
        <v>11307</v>
      </c>
      <c r="R13" s="179">
        <f t="shared" si="3"/>
        <v>11307</v>
      </c>
      <c r="S13" s="179">
        <f t="shared" si="3"/>
        <v>3750</v>
      </c>
      <c r="T13" s="199">
        <f t="shared" si="3"/>
        <v>3750</v>
      </c>
      <c r="U13" s="179">
        <f t="shared" si="3"/>
        <v>4264</v>
      </c>
      <c r="V13" s="199">
        <f>SUM(V14:V29)</f>
        <v>4700</v>
      </c>
      <c r="W13" s="179">
        <f>SUM(W14:W28)</f>
        <v>2100</v>
      </c>
      <c r="X13" s="199">
        <f>SUM(X14:X29)</f>
        <v>2500</v>
      </c>
      <c r="Y13" s="179">
        <f>SUM(Y14:Y28)</f>
        <v>1800</v>
      </c>
      <c r="Z13" s="199">
        <f>SUM(Z14:Z28)</f>
        <v>1800</v>
      </c>
      <c r="AA13" s="179">
        <f>SUM(AA14:AA28)</f>
        <v>0</v>
      </c>
      <c r="AB13" s="199">
        <f>SUM(AB14:AB28)</f>
        <v>0</v>
      </c>
    </row>
    <row r="14" spans="1:29" x14ac:dyDescent="0.2">
      <c r="A14" s="441"/>
      <c r="B14" s="180" t="s">
        <v>109</v>
      </c>
      <c r="C14" s="181" t="s">
        <v>110</v>
      </c>
      <c r="D14" s="182">
        <f t="shared" si="0"/>
        <v>1557</v>
      </c>
      <c r="E14" s="200">
        <v>677.27</v>
      </c>
      <c r="F14" s="201">
        <f t="shared" si="1"/>
        <v>1157</v>
      </c>
      <c r="G14" s="187">
        <v>1400</v>
      </c>
      <c r="H14" s="388">
        <v>1157</v>
      </c>
      <c r="I14" s="187"/>
      <c r="J14" s="186"/>
      <c r="K14" s="187">
        <v>157</v>
      </c>
      <c r="L14" s="186"/>
      <c r="M14" s="187"/>
      <c r="N14" s="186"/>
      <c r="O14" s="187"/>
      <c r="P14" s="186"/>
      <c r="Q14" s="187"/>
      <c r="R14" s="186"/>
      <c r="S14" s="187"/>
      <c r="T14" s="186"/>
      <c r="U14" s="187"/>
      <c r="V14" s="186"/>
      <c r="W14" s="187"/>
      <c r="X14" s="186"/>
      <c r="Y14" s="187"/>
      <c r="Z14" s="186"/>
      <c r="AA14" s="187"/>
      <c r="AB14" s="186"/>
    </row>
    <row r="15" spans="1:29" x14ac:dyDescent="0.2">
      <c r="A15" s="441"/>
      <c r="B15" s="180" t="s">
        <v>111</v>
      </c>
      <c r="C15" s="181" t="s">
        <v>112</v>
      </c>
      <c r="D15" s="182">
        <f t="shared" si="0"/>
        <v>3000</v>
      </c>
      <c r="E15" s="200">
        <v>1158.44</v>
      </c>
      <c r="F15" s="201">
        <f t="shared" si="1"/>
        <v>3000</v>
      </c>
      <c r="G15" s="187">
        <v>1500</v>
      </c>
      <c r="H15" s="388">
        <v>1500</v>
      </c>
      <c r="I15" s="187">
        <v>1500</v>
      </c>
      <c r="J15" s="186">
        <v>1500</v>
      </c>
      <c r="K15" s="187"/>
      <c r="L15" s="186"/>
      <c r="M15" s="187"/>
      <c r="N15" s="186"/>
      <c r="O15" s="187"/>
      <c r="P15" s="186"/>
      <c r="Q15" s="187"/>
      <c r="R15" s="186"/>
      <c r="S15" s="187"/>
      <c r="T15" s="186"/>
      <c r="U15" s="187"/>
      <c r="V15" s="186"/>
      <c r="W15" s="187"/>
      <c r="X15" s="186"/>
      <c r="Y15" s="187"/>
      <c r="Z15" s="186"/>
      <c r="AA15" s="187"/>
      <c r="AB15" s="186"/>
    </row>
    <row r="16" spans="1:29" x14ac:dyDescent="0.2">
      <c r="A16" s="441"/>
      <c r="B16" s="180" t="s">
        <v>113</v>
      </c>
      <c r="C16" s="181" t="s">
        <v>114</v>
      </c>
      <c r="D16" s="182">
        <f t="shared" si="0"/>
        <v>5000</v>
      </c>
      <c r="E16" s="200">
        <v>1777.29</v>
      </c>
      <c r="F16" s="201">
        <f t="shared" si="1"/>
        <v>5060</v>
      </c>
      <c r="G16" s="187">
        <v>2000</v>
      </c>
      <c r="H16" s="388">
        <v>2060</v>
      </c>
      <c r="I16" s="187">
        <v>1000</v>
      </c>
      <c r="J16" s="186">
        <v>1000</v>
      </c>
      <c r="K16" s="187"/>
      <c r="L16" s="186"/>
      <c r="M16" s="187"/>
      <c r="N16" s="186"/>
      <c r="O16" s="187"/>
      <c r="P16" s="186"/>
      <c r="Q16" s="187"/>
      <c r="R16" s="186"/>
      <c r="S16" s="187"/>
      <c r="T16" s="186"/>
      <c r="U16" s="187">
        <v>2000</v>
      </c>
      <c r="V16" s="186">
        <v>2000</v>
      </c>
      <c r="W16" s="187"/>
      <c r="X16" s="186"/>
      <c r="Y16" s="187"/>
      <c r="Z16" s="186"/>
      <c r="AA16" s="187"/>
      <c r="AB16" s="186"/>
    </row>
    <row r="17" spans="1:28" x14ac:dyDescent="0.2">
      <c r="A17" s="441"/>
      <c r="B17" s="180" t="s">
        <v>115</v>
      </c>
      <c r="C17" s="181" t="s">
        <v>116</v>
      </c>
      <c r="D17" s="182">
        <f t="shared" si="0"/>
        <v>48000</v>
      </c>
      <c r="E17" s="200">
        <v>25623.13</v>
      </c>
      <c r="F17" s="201">
        <f t="shared" si="1"/>
        <v>38000</v>
      </c>
      <c r="G17" s="187">
        <v>12000</v>
      </c>
      <c r="H17" s="388">
        <v>8000</v>
      </c>
      <c r="I17" s="187">
        <v>36000</v>
      </c>
      <c r="J17" s="186">
        <v>30000</v>
      </c>
      <c r="K17" s="187"/>
      <c r="L17" s="186"/>
      <c r="M17" s="187"/>
      <c r="N17" s="186"/>
      <c r="O17" s="187"/>
      <c r="P17" s="186"/>
      <c r="Q17" s="187"/>
      <c r="R17" s="186"/>
      <c r="S17" s="187"/>
      <c r="T17" s="186"/>
      <c r="U17" s="187"/>
      <c r="V17" s="186"/>
      <c r="W17" s="187"/>
      <c r="X17" s="186"/>
      <c r="Y17" s="187"/>
      <c r="Z17" s="186"/>
      <c r="AA17" s="187"/>
      <c r="AB17" s="186"/>
    </row>
    <row r="18" spans="1:28" x14ac:dyDescent="0.2">
      <c r="A18" s="441"/>
      <c r="B18" s="180" t="s">
        <v>117</v>
      </c>
      <c r="C18" s="181" t="s">
        <v>118</v>
      </c>
      <c r="D18" s="182">
        <f t="shared" si="0"/>
        <v>700</v>
      </c>
      <c r="E18" s="200">
        <v>352.11</v>
      </c>
      <c r="F18" s="201">
        <f t="shared" si="1"/>
        <v>700</v>
      </c>
      <c r="G18" s="187">
        <v>700</v>
      </c>
      <c r="H18" s="388">
        <v>700</v>
      </c>
      <c r="I18" s="187"/>
      <c r="J18" s="186"/>
      <c r="K18" s="187"/>
      <c r="L18" s="186"/>
      <c r="M18" s="187"/>
      <c r="N18" s="186"/>
      <c r="O18" s="187"/>
      <c r="P18" s="186"/>
      <c r="Q18" s="187"/>
      <c r="R18" s="186"/>
      <c r="S18" s="187"/>
      <c r="T18" s="186"/>
      <c r="U18" s="187"/>
      <c r="V18" s="186"/>
      <c r="W18" s="187"/>
      <c r="X18" s="186"/>
      <c r="Y18" s="187"/>
      <c r="Z18" s="186"/>
      <c r="AA18" s="187"/>
      <c r="AB18" s="186"/>
    </row>
    <row r="19" spans="1:28" x14ac:dyDescent="0.2">
      <c r="A19" s="441"/>
      <c r="B19" s="180" t="s">
        <v>119</v>
      </c>
      <c r="C19" s="181" t="s">
        <v>120</v>
      </c>
      <c r="D19" s="182">
        <f t="shared" si="0"/>
        <v>4450</v>
      </c>
      <c r="E19" s="200">
        <v>1901.82</v>
      </c>
      <c r="F19" s="201">
        <f t="shared" si="1"/>
        <v>4450</v>
      </c>
      <c r="G19" s="187"/>
      <c r="H19" s="388"/>
      <c r="I19" s="187"/>
      <c r="J19" s="186"/>
      <c r="K19" s="187"/>
      <c r="L19" s="186"/>
      <c r="M19" s="187"/>
      <c r="N19" s="186"/>
      <c r="O19" s="187"/>
      <c r="P19" s="186"/>
      <c r="Q19" s="187"/>
      <c r="R19" s="186"/>
      <c r="S19" s="187">
        <f>1878+122</f>
        <v>2000</v>
      </c>
      <c r="T19" s="186">
        <v>2000</v>
      </c>
      <c r="U19" s="187">
        <v>350</v>
      </c>
      <c r="V19" s="186">
        <v>350</v>
      </c>
      <c r="W19" s="187">
        <v>300</v>
      </c>
      <c r="X19" s="186">
        <v>300</v>
      </c>
      <c r="Y19" s="187">
        <v>1800</v>
      </c>
      <c r="Z19" s="186">
        <v>1800</v>
      </c>
      <c r="AA19" s="187"/>
      <c r="AB19" s="186"/>
    </row>
    <row r="20" spans="1:28" x14ac:dyDescent="0.2">
      <c r="A20" s="441"/>
      <c r="B20" s="180" t="s">
        <v>121</v>
      </c>
      <c r="C20" s="181" t="s">
        <v>122</v>
      </c>
      <c r="D20" s="182">
        <f t="shared" si="0"/>
        <v>7000</v>
      </c>
      <c r="E20" s="200">
        <v>384.02</v>
      </c>
      <c r="F20" s="201">
        <f t="shared" si="1"/>
        <v>7000</v>
      </c>
      <c r="G20" s="187">
        <v>6500</v>
      </c>
      <c r="H20" s="388">
        <v>6500</v>
      </c>
      <c r="I20" s="187">
        <v>500</v>
      </c>
      <c r="J20" s="186">
        <v>500</v>
      </c>
      <c r="K20" s="187"/>
      <c r="L20" s="186"/>
      <c r="M20" s="187"/>
      <c r="N20" s="186"/>
      <c r="O20" s="187"/>
      <c r="P20" s="186"/>
      <c r="Q20" s="187"/>
      <c r="R20" s="186"/>
      <c r="S20" s="187"/>
      <c r="T20" s="186"/>
      <c r="U20" s="187"/>
      <c r="V20" s="186"/>
      <c r="W20" s="187"/>
      <c r="X20" s="186"/>
      <c r="Y20" s="187"/>
      <c r="Z20" s="186"/>
      <c r="AA20" s="187"/>
      <c r="AB20" s="186"/>
    </row>
    <row r="21" spans="1:28" x14ac:dyDescent="0.2">
      <c r="A21" s="441"/>
      <c r="B21" s="180" t="s">
        <v>123</v>
      </c>
      <c r="C21" s="181" t="s">
        <v>124</v>
      </c>
      <c r="D21" s="182">
        <f t="shared" si="0"/>
        <v>11009</v>
      </c>
      <c r="E21" s="200">
        <v>7273.53</v>
      </c>
      <c r="F21" s="201">
        <f t="shared" si="1"/>
        <v>10359</v>
      </c>
      <c r="G21" s="187"/>
      <c r="H21" s="388"/>
      <c r="I21" s="187"/>
      <c r="J21" s="186"/>
      <c r="K21" s="187">
        <v>3306</v>
      </c>
      <c r="L21" s="186">
        <v>2656</v>
      </c>
      <c r="M21" s="187">
        <v>805</v>
      </c>
      <c r="N21" s="186">
        <v>805</v>
      </c>
      <c r="O21" s="187">
        <v>1928</v>
      </c>
      <c r="P21" s="186">
        <v>1928</v>
      </c>
      <c r="Q21" s="187">
        <v>2820</v>
      </c>
      <c r="R21" s="186">
        <v>2820</v>
      </c>
      <c r="S21" s="187">
        <v>550</v>
      </c>
      <c r="T21" s="186">
        <v>550</v>
      </c>
      <c r="U21" s="187">
        <v>1000</v>
      </c>
      <c r="V21" s="186">
        <v>1000</v>
      </c>
      <c r="W21" s="187">
        <v>600</v>
      </c>
      <c r="X21" s="186">
        <v>600</v>
      </c>
      <c r="Y21" s="187"/>
      <c r="Z21" s="186"/>
      <c r="AA21" s="187"/>
      <c r="AB21" s="186"/>
    </row>
    <row r="22" spans="1:28" x14ac:dyDescent="0.2">
      <c r="A22" s="441"/>
      <c r="B22" s="180" t="s">
        <v>125</v>
      </c>
      <c r="C22" s="181" t="s">
        <v>126</v>
      </c>
      <c r="D22" s="182">
        <f t="shared" si="0"/>
        <v>7767</v>
      </c>
      <c r="E22" s="200">
        <v>6238.22</v>
      </c>
      <c r="F22" s="201">
        <f t="shared" si="1"/>
        <v>7367</v>
      </c>
      <c r="G22" s="187"/>
      <c r="H22" s="388"/>
      <c r="I22" s="187"/>
      <c r="J22" s="186"/>
      <c r="K22" s="187">
        <v>3236</v>
      </c>
      <c r="L22" s="186">
        <v>2836</v>
      </c>
      <c r="M22" s="187">
        <v>70</v>
      </c>
      <c r="N22" s="186">
        <v>70</v>
      </c>
      <c r="O22" s="187">
        <v>361</v>
      </c>
      <c r="P22" s="186">
        <v>361</v>
      </c>
      <c r="Q22" s="187">
        <v>4000</v>
      </c>
      <c r="R22" s="186">
        <v>4000</v>
      </c>
      <c r="S22" s="187"/>
      <c r="T22" s="186"/>
      <c r="U22" s="187"/>
      <c r="V22" s="186"/>
      <c r="W22" s="187">
        <v>100</v>
      </c>
      <c r="X22" s="186">
        <v>100</v>
      </c>
      <c r="Y22" s="187"/>
      <c r="Z22" s="186"/>
      <c r="AA22" s="187"/>
      <c r="AB22" s="186"/>
    </row>
    <row r="23" spans="1:28" x14ac:dyDescent="0.2">
      <c r="A23" s="441"/>
      <c r="B23" s="180" t="s">
        <v>127</v>
      </c>
      <c r="C23" s="181" t="s">
        <v>128</v>
      </c>
      <c r="D23" s="182">
        <f t="shared" si="0"/>
        <v>7000</v>
      </c>
      <c r="E23" s="200">
        <v>6562.22</v>
      </c>
      <c r="F23" s="201">
        <f t="shared" si="1"/>
        <v>6397</v>
      </c>
      <c r="G23" s="187">
        <v>6500</v>
      </c>
      <c r="H23" s="388">
        <v>5897</v>
      </c>
      <c r="I23" s="187">
        <v>500</v>
      </c>
      <c r="J23" s="186">
        <v>500</v>
      </c>
      <c r="K23" s="187"/>
      <c r="L23" s="186"/>
      <c r="M23" s="187"/>
      <c r="N23" s="186"/>
      <c r="O23" s="187"/>
      <c r="P23" s="186"/>
      <c r="Q23" s="187"/>
      <c r="R23" s="186"/>
      <c r="S23" s="187"/>
      <c r="T23" s="186"/>
      <c r="U23" s="187"/>
      <c r="V23" s="186"/>
      <c r="W23" s="187"/>
      <c r="X23" s="186"/>
      <c r="Y23" s="187"/>
      <c r="Z23" s="186"/>
      <c r="AA23" s="187"/>
      <c r="AB23" s="186"/>
    </row>
    <row r="24" spans="1:28" x14ac:dyDescent="0.2">
      <c r="A24" s="441"/>
      <c r="B24" s="180" t="s">
        <v>129</v>
      </c>
      <c r="C24" s="181" t="s">
        <v>130</v>
      </c>
      <c r="D24" s="182">
        <f t="shared" si="0"/>
        <v>597</v>
      </c>
      <c r="E24" s="200">
        <v>88.2</v>
      </c>
      <c r="F24" s="201">
        <f t="shared" si="1"/>
        <v>597</v>
      </c>
      <c r="G24" s="187">
        <v>597</v>
      </c>
      <c r="H24" s="388">
        <v>597</v>
      </c>
      <c r="I24" s="187"/>
      <c r="J24" s="186"/>
      <c r="K24" s="187"/>
      <c r="L24" s="186"/>
      <c r="M24" s="187"/>
      <c r="N24" s="186"/>
      <c r="O24" s="187"/>
      <c r="P24" s="186"/>
      <c r="Q24" s="187"/>
      <c r="R24" s="186"/>
      <c r="S24" s="187"/>
      <c r="T24" s="186"/>
      <c r="U24" s="187"/>
      <c r="V24" s="186"/>
      <c r="W24" s="187"/>
      <c r="X24" s="186"/>
      <c r="Y24" s="187"/>
      <c r="Z24" s="186"/>
      <c r="AA24" s="187"/>
      <c r="AB24" s="186"/>
    </row>
    <row r="25" spans="1:28" x14ac:dyDescent="0.2">
      <c r="A25" s="441"/>
      <c r="B25" s="180" t="s">
        <v>131</v>
      </c>
      <c r="C25" s="181" t="s">
        <v>132</v>
      </c>
      <c r="D25" s="182">
        <f t="shared" si="0"/>
        <v>7818</v>
      </c>
      <c r="E25" s="200">
        <v>6015.62</v>
      </c>
      <c r="F25" s="201">
        <f t="shared" si="1"/>
        <v>7818</v>
      </c>
      <c r="G25" s="187"/>
      <c r="H25" s="388"/>
      <c r="I25" s="187"/>
      <c r="J25" s="186"/>
      <c r="K25" s="187">
        <v>1131</v>
      </c>
      <c r="L25" s="186">
        <v>1131</v>
      </c>
      <c r="M25" s="187"/>
      <c r="N25" s="186"/>
      <c r="O25" s="187"/>
      <c r="P25" s="186"/>
      <c r="Q25" s="187">
        <v>4487</v>
      </c>
      <c r="R25" s="186">
        <v>4487</v>
      </c>
      <c r="S25" s="187">
        <v>1200</v>
      </c>
      <c r="T25" s="186">
        <v>1200</v>
      </c>
      <c r="U25" s="187"/>
      <c r="V25" s="186"/>
      <c r="W25" s="187">
        <v>1000</v>
      </c>
      <c r="X25" s="186">
        <v>1000</v>
      </c>
      <c r="Y25" s="187"/>
      <c r="Z25" s="186"/>
      <c r="AA25" s="187"/>
      <c r="AB25" s="186"/>
    </row>
    <row r="26" spans="1:28" ht="25.5" x14ac:dyDescent="0.2">
      <c r="A26" s="441"/>
      <c r="B26" s="180" t="s">
        <v>133</v>
      </c>
      <c r="C26" s="181" t="s">
        <v>134</v>
      </c>
      <c r="D26" s="182">
        <f t="shared" si="0"/>
        <v>5564</v>
      </c>
      <c r="E26" s="200">
        <v>2687.17</v>
      </c>
      <c r="F26" s="201">
        <f t="shared" si="1"/>
        <v>12500</v>
      </c>
      <c r="G26" s="187">
        <v>3500</v>
      </c>
      <c r="H26" s="388">
        <v>5000</v>
      </c>
      <c r="I26" s="187">
        <v>2000</v>
      </c>
      <c r="J26" s="186">
        <v>7000</v>
      </c>
      <c r="K26" s="187"/>
      <c r="L26" s="186"/>
      <c r="M26" s="187"/>
      <c r="N26" s="186"/>
      <c r="O26" s="187"/>
      <c r="P26" s="186"/>
      <c r="Q26" s="187"/>
      <c r="R26" s="186"/>
      <c r="S26" s="187"/>
      <c r="T26" s="186"/>
      <c r="U26" s="187">
        <v>64</v>
      </c>
      <c r="V26" s="186">
        <v>500</v>
      </c>
      <c r="W26" s="187"/>
      <c r="X26" s="186"/>
      <c r="Y26" s="187"/>
      <c r="Z26" s="186"/>
      <c r="AA26" s="187"/>
      <c r="AB26" s="186"/>
    </row>
    <row r="27" spans="1:28" x14ac:dyDescent="0.2">
      <c r="A27" s="441"/>
      <c r="B27" s="180" t="s">
        <v>135</v>
      </c>
      <c r="C27" s="181" t="s">
        <v>136</v>
      </c>
      <c r="D27" s="182">
        <f t="shared" si="0"/>
        <v>100</v>
      </c>
      <c r="E27" s="200">
        <v>84</v>
      </c>
      <c r="F27" s="201">
        <f t="shared" si="1"/>
        <v>500</v>
      </c>
      <c r="G27" s="187"/>
      <c r="H27" s="388"/>
      <c r="I27" s="187"/>
      <c r="J27" s="186"/>
      <c r="K27" s="187"/>
      <c r="L27" s="186"/>
      <c r="M27" s="187"/>
      <c r="N27" s="186"/>
      <c r="O27" s="187"/>
      <c r="P27" s="186"/>
      <c r="Q27" s="187"/>
      <c r="R27" s="186"/>
      <c r="S27" s="187"/>
      <c r="T27" s="186"/>
      <c r="U27" s="187"/>
      <c r="V27" s="186"/>
      <c r="W27" s="187">
        <v>100</v>
      </c>
      <c r="X27" s="186">
        <v>500</v>
      </c>
      <c r="Y27" s="187"/>
      <c r="Z27" s="186"/>
      <c r="AA27" s="187"/>
      <c r="AB27" s="186"/>
    </row>
    <row r="28" spans="1:28" x14ac:dyDescent="0.2">
      <c r="A28" s="441"/>
      <c r="B28" s="190" t="s">
        <v>137</v>
      </c>
      <c r="C28" s="191" t="s">
        <v>138</v>
      </c>
      <c r="D28" s="204">
        <f t="shared" si="0"/>
        <v>850</v>
      </c>
      <c r="E28" s="205">
        <v>846</v>
      </c>
      <c r="F28" s="206">
        <f t="shared" si="1"/>
        <v>850</v>
      </c>
      <c r="G28" s="187"/>
      <c r="H28" s="388"/>
      <c r="I28" s="187"/>
      <c r="J28" s="186"/>
      <c r="K28" s="187"/>
      <c r="L28" s="186"/>
      <c r="M28" s="187"/>
      <c r="N28" s="186"/>
      <c r="O28" s="187"/>
      <c r="P28" s="186"/>
      <c r="Q28" s="187"/>
      <c r="R28" s="186"/>
      <c r="S28" s="187"/>
      <c r="T28" s="186"/>
      <c r="U28" s="187">
        <v>850</v>
      </c>
      <c r="V28" s="186">
        <v>850</v>
      </c>
      <c r="W28" s="187"/>
      <c r="X28" s="186"/>
      <c r="Y28" s="187"/>
      <c r="Z28" s="186"/>
      <c r="AA28" s="187"/>
      <c r="AB28" s="186"/>
    </row>
    <row r="29" spans="1:28" x14ac:dyDescent="0.2">
      <c r="A29" s="441"/>
      <c r="B29" s="190" t="s">
        <v>139</v>
      </c>
      <c r="C29" s="191" t="s">
        <v>140</v>
      </c>
      <c r="D29" s="192"/>
      <c r="E29" s="207"/>
      <c r="F29" s="208"/>
      <c r="G29" s="197"/>
      <c r="H29" s="391"/>
      <c r="I29" s="197"/>
      <c r="J29" s="196"/>
      <c r="K29" s="197"/>
      <c r="L29" s="196"/>
      <c r="M29" s="197"/>
      <c r="N29" s="196"/>
      <c r="O29" s="197"/>
      <c r="P29" s="196"/>
      <c r="Q29" s="197"/>
      <c r="R29" s="196"/>
      <c r="S29" s="197"/>
      <c r="T29" s="196"/>
      <c r="U29" s="197"/>
      <c r="V29" s="196"/>
      <c r="W29" s="197"/>
      <c r="X29" s="196"/>
      <c r="Y29" s="197"/>
      <c r="Z29" s="196"/>
      <c r="AA29" s="197"/>
      <c r="AB29" s="196"/>
    </row>
    <row r="30" spans="1:28" ht="12.75" customHeight="1" x14ac:dyDescent="0.2">
      <c r="A30" s="441">
        <v>419</v>
      </c>
      <c r="B30" s="443" t="s">
        <v>141</v>
      </c>
      <c r="C30" s="443"/>
      <c r="D30" s="175">
        <f t="shared" ref="D30:D60" si="4">G30+I30+K30+M30+O30+Q30+S30+U30+W30+Y30+AA30</f>
        <v>66000</v>
      </c>
      <c r="E30" s="176">
        <f>SUM(E31:E32)</f>
        <v>41266.800000000003</v>
      </c>
      <c r="F30" s="177">
        <f t="shared" ref="F30:F69" si="5">H30+J30+L30+N30+P30+R30+T30+V30+X30+Z30+AB30</f>
        <v>62196</v>
      </c>
      <c r="G30" s="392">
        <f t="shared" ref="G30:AB30" si="6">SUM(G31:G32)</f>
        <v>14000</v>
      </c>
      <c r="H30" s="393">
        <f t="shared" si="6"/>
        <v>9520</v>
      </c>
      <c r="I30" s="179">
        <f t="shared" si="6"/>
        <v>52000</v>
      </c>
      <c r="J30" s="199">
        <f t="shared" si="6"/>
        <v>52676</v>
      </c>
      <c r="K30" s="179">
        <f t="shared" si="6"/>
        <v>0</v>
      </c>
      <c r="L30" s="178">
        <f t="shared" si="6"/>
        <v>0</v>
      </c>
      <c r="M30" s="179">
        <f t="shared" si="6"/>
        <v>0</v>
      </c>
      <c r="N30" s="178">
        <f t="shared" si="6"/>
        <v>0</v>
      </c>
      <c r="O30" s="179">
        <f t="shared" si="6"/>
        <v>0</v>
      </c>
      <c r="P30" s="178">
        <f t="shared" si="6"/>
        <v>0</v>
      </c>
      <c r="Q30" s="179">
        <f t="shared" si="6"/>
        <v>0</v>
      </c>
      <c r="R30" s="199">
        <f t="shared" si="6"/>
        <v>0</v>
      </c>
      <c r="S30" s="179">
        <f t="shared" si="6"/>
        <v>0</v>
      </c>
      <c r="T30" s="178">
        <f t="shared" si="6"/>
        <v>0</v>
      </c>
      <c r="U30" s="179">
        <f t="shared" si="6"/>
        <v>0</v>
      </c>
      <c r="V30" s="178">
        <f t="shared" si="6"/>
        <v>0</v>
      </c>
      <c r="W30" s="179">
        <f t="shared" si="6"/>
        <v>0</v>
      </c>
      <c r="X30" s="178">
        <f t="shared" si="6"/>
        <v>0</v>
      </c>
      <c r="Y30" s="179">
        <f t="shared" si="6"/>
        <v>0</v>
      </c>
      <c r="Z30" s="178">
        <f t="shared" si="6"/>
        <v>0</v>
      </c>
      <c r="AA30" s="179">
        <f t="shared" si="6"/>
        <v>0</v>
      </c>
      <c r="AB30" s="199">
        <f t="shared" si="6"/>
        <v>0</v>
      </c>
    </row>
    <row r="31" spans="1:28" x14ac:dyDescent="0.2">
      <c r="A31" s="441"/>
      <c r="B31" s="180" t="s">
        <v>142</v>
      </c>
      <c r="C31" s="181" t="s">
        <v>143</v>
      </c>
      <c r="D31" s="182">
        <f t="shared" si="4"/>
        <v>62500</v>
      </c>
      <c r="E31" s="183">
        <v>40043.07</v>
      </c>
      <c r="F31" s="184">
        <f t="shared" si="5"/>
        <v>58650</v>
      </c>
      <c r="G31" s="187">
        <v>12500</v>
      </c>
      <c r="H31" s="388">
        <v>8000</v>
      </c>
      <c r="I31" s="187">
        <v>50000</v>
      </c>
      <c r="J31" s="186">
        <v>50650</v>
      </c>
      <c r="K31" s="187"/>
      <c r="L31" s="186"/>
      <c r="M31" s="187"/>
      <c r="N31" s="186"/>
      <c r="O31" s="187"/>
      <c r="P31" s="186"/>
      <c r="Q31" s="187"/>
      <c r="R31" s="186"/>
      <c r="S31" s="187"/>
      <c r="T31" s="186"/>
      <c r="U31" s="187"/>
      <c r="V31" s="186"/>
      <c r="W31" s="187"/>
      <c r="X31" s="186"/>
      <c r="Y31" s="187"/>
      <c r="Z31" s="186"/>
      <c r="AA31" s="187"/>
      <c r="AB31" s="186"/>
    </row>
    <row r="32" spans="1:28" ht="17.850000000000001" customHeight="1" x14ac:dyDescent="0.2">
      <c r="A32" s="441"/>
      <c r="B32" s="190" t="s">
        <v>144</v>
      </c>
      <c r="C32" s="191" t="s">
        <v>145</v>
      </c>
      <c r="D32" s="192">
        <f t="shared" si="4"/>
        <v>3500</v>
      </c>
      <c r="E32" s="193">
        <v>1223.73</v>
      </c>
      <c r="F32" s="194">
        <f t="shared" si="5"/>
        <v>3546</v>
      </c>
      <c r="G32" s="197">
        <v>1500</v>
      </c>
      <c r="H32" s="391">
        <v>1520</v>
      </c>
      <c r="I32" s="197">
        <v>2000</v>
      </c>
      <c r="J32" s="196">
        <v>2026</v>
      </c>
      <c r="K32" s="197"/>
      <c r="L32" s="196"/>
      <c r="M32" s="197"/>
      <c r="N32" s="196"/>
      <c r="O32" s="197"/>
      <c r="P32" s="196"/>
      <c r="Q32" s="197"/>
      <c r="R32" s="196"/>
      <c r="S32" s="197"/>
      <c r="T32" s="196"/>
      <c r="U32" s="197"/>
      <c r="V32" s="196"/>
      <c r="W32" s="197"/>
      <c r="X32" s="196"/>
      <c r="Y32" s="197"/>
      <c r="Z32" s="196"/>
      <c r="AA32" s="197"/>
      <c r="AB32" s="196"/>
    </row>
    <row r="33" spans="1:28" ht="12.75" customHeight="1" x14ac:dyDescent="0.2">
      <c r="A33" s="441">
        <v>420</v>
      </c>
      <c r="B33" s="443" t="s">
        <v>146</v>
      </c>
      <c r="C33" s="443"/>
      <c r="D33" s="175">
        <f t="shared" si="4"/>
        <v>37672</v>
      </c>
      <c r="E33" s="176">
        <f>SUM(E34:E46)</f>
        <v>26377.59</v>
      </c>
      <c r="F33" s="177">
        <f t="shared" si="5"/>
        <v>40672</v>
      </c>
      <c r="G33" s="179">
        <f t="shared" ref="G33:AB33" si="7">SUM(G34:G46)</f>
        <v>12900</v>
      </c>
      <c r="H33" s="387">
        <f t="shared" si="7"/>
        <v>15900</v>
      </c>
      <c r="I33" s="179">
        <f t="shared" si="7"/>
        <v>8530</v>
      </c>
      <c r="J33" s="199">
        <f t="shared" si="7"/>
        <v>8530</v>
      </c>
      <c r="K33" s="179">
        <f t="shared" si="7"/>
        <v>8842</v>
      </c>
      <c r="L33" s="178">
        <f t="shared" si="7"/>
        <v>8842</v>
      </c>
      <c r="M33" s="179">
        <f t="shared" si="7"/>
        <v>700</v>
      </c>
      <c r="N33" s="178">
        <f t="shared" si="7"/>
        <v>700</v>
      </c>
      <c r="O33" s="179">
        <f t="shared" si="7"/>
        <v>0</v>
      </c>
      <c r="P33" s="178">
        <f t="shared" si="7"/>
        <v>0</v>
      </c>
      <c r="Q33" s="179">
        <f t="shared" si="7"/>
        <v>3600</v>
      </c>
      <c r="R33" s="199">
        <f t="shared" si="7"/>
        <v>3600</v>
      </c>
      <c r="S33" s="179">
        <f t="shared" si="7"/>
        <v>0</v>
      </c>
      <c r="T33" s="178">
        <f t="shared" si="7"/>
        <v>0</v>
      </c>
      <c r="U33" s="179">
        <f t="shared" si="7"/>
        <v>2400</v>
      </c>
      <c r="V33" s="178">
        <f t="shared" si="7"/>
        <v>2400</v>
      </c>
      <c r="W33" s="179">
        <f t="shared" si="7"/>
        <v>700</v>
      </c>
      <c r="X33" s="178">
        <f t="shared" si="7"/>
        <v>700</v>
      </c>
      <c r="Y33" s="179">
        <f t="shared" si="7"/>
        <v>0</v>
      </c>
      <c r="Z33" s="178">
        <f t="shared" si="7"/>
        <v>0</v>
      </c>
      <c r="AA33" s="179">
        <f t="shared" si="7"/>
        <v>0</v>
      </c>
      <c r="AB33" s="199">
        <f t="shared" si="7"/>
        <v>0</v>
      </c>
    </row>
    <row r="34" spans="1:28" x14ac:dyDescent="0.2">
      <c r="A34" s="441"/>
      <c r="B34" s="180" t="s">
        <v>147</v>
      </c>
      <c r="C34" s="181" t="s">
        <v>148</v>
      </c>
      <c r="D34" s="182">
        <f t="shared" si="4"/>
        <v>3050</v>
      </c>
      <c r="E34" s="183">
        <v>1762.35</v>
      </c>
      <c r="F34" s="184">
        <f t="shared" si="5"/>
        <v>6050</v>
      </c>
      <c r="G34" s="187">
        <v>1050</v>
      </c>
      <c r="H34" s="388">
        <v>4050</v>
      </c>
      <c r="I34" s="187">
        <v>2000</v>
      </c>
      <c r="J34" s="186">
        <v>2000</v>
      </c>
      <c r="K34" s="187"/>
      <c r="L34" s="186"/>
      <c r="M34" s="187"/>
      <c r="N34" s="186"/>
      <c r="O34" s="187"/>
      <c r="P34" s="186"/>
      <c r="Q34" s="187"/>
      <c r="R34" s="186"/>
      <c r="S34" s="187"/>
      <c r="T34" s="186"/>
      <c r="U34" s="187"/>
      <c r="V34" s="186"/>
      <c r="W34" s="187"/>
      <c r="X34" s="186"/>
      <c r="Y34" s="187"/>
      <c r="Z34" s="186"/>
      <c r="AA34" s="187"/>
      <c r="AB34" s="186"/>
    </row>
    <row r="35" spans="1:28" x14ac:dyDescent="0.2">
      <c r="A35" s="441"/>
      <c r="B35" s="180" t="s">
        <v>149</v>
      </c>
      <c r="C35" s="181" t="s">
        <v>150</v>
      </c>
      <c r="D35" s="182">
        <f t="shared" si="4"/>
        <v>3350</v>
      </c>
      <c r="E35" s="183">
        <v>1651.83</v>
      </c>
      <c r="F35" s="184">
        <f t="shared" si="5"/>
        <v>3350</v>
      </c>
      <c r="G35" s="187">
        <v>2950</v>
      </c>
      <c r="H35" s="388">
        <v>2950</v>
      </c>
      <c r="I35" s="187">
        <v>400</v>
      </c>
      <c r="J35" s="186">
        <v>400</v>
      </c>
      <c r="K35" s="187"/>
      <c r="L35" s="186"/>
      <c r="M35" s="187"/>
      <c r="N35" s="186"/>
      <c r="O35" s="187"/>
      <c r="P35" s="186"/>
      <c r="Q35" s="187"/>
      <c r="R35" s="186"/>
      <c r="S35" s="187"/>
      <c r="T35" s="186"/>
      <c r="U35" s="187"/>
      <c r="V35" s="186"/>
      <c r="W35" s="187"/>
      <c r="X35" s="186"/>
      <c r="Y35" s="187"/>
      <c r="Z35" s="186"/>
      <c r="AA35" s="187"/>
      <c r="AB35" s="186"/>
    </row>
    <row r="36" spans="1:28" x14ac:dyDescent="0.2">
      <c r="A36" s="441"/>
      <c r="B36" s="180" t="s">
        <v>151</v>
      </c>
      <c r="C36" s="181" t="s">
        <v>152</v>
      </c>
      <c r="D36" s="182">
        <f t="shared" si="4"/>
        <v>3950</v>
      </c>
      <c r="E36" s="183">
        <v>2829.96</v>
      </c>
      <c r="F36" s="184">
        <f t="shared" si="5"/>
        <v>3950</v>
      </c>
      <c r="G36" s="187">
        <v>650</v>
      </c>
      <c r="H36" s="388">
        <v>650</v>
      </c>
      <c r="I36" s="187">
        <v>3300</v>
      </c>
      <c r="J36" s="186">
        <v>3300</v>
      </c>
      <c r="K36" s="187"/>
      <c r="L36" s="186"/>
      <c r="M36" s="187"/>
      <c r="N36" s="186"/>
      <c r="O36" s="187"/>
      <c r="P36" s="186"/>
      <c r="Q36" s="187"/>
      <c r="R36" s="186"/>
      <c r="S36" s="187"/>
      <c r="T36" s="186"/>
      <c r="U36" s="187"/>
      <c r="V36" s="186"/>
      <c r="W36" s="187"/>
      <c r="X36" s="186"/>
      <c r="Y36" s="187"/>
      <c r="Z36" s="186"/>
      <c r="AA36" s="187"/>
      <c r="AB36" s="186"/>
    </row>
    <row r="37" spans="1:28" x14ac:dyDescent="0.2">
      <c r="A37" s="441"/>
      <c r="B37" s="180" t="s">
        <v>153</v>
      </c>
      <c r="C37" s="181" t="s">
        <v>154</v>
      </c>
      <c r="D37" s="182">
        <f t="shared" si="4"/>
        <v>3941</v>
      </c>
      <c r="E37" s="183">
        <v>2580.83</v>
      </c>
      <c r="F37" s="184">
        <f t="shared" si="5"/>
        <v>3941</v>
      </c>
      <c r="G37" s="187">
        <v>2000</v>
      </c>
      <c r="H37" s="388">
        <v>2000</v>
      </c>
      <c r="I37" s="187">
        <v>1530</v>
      </c>
      <c r="J37" s="186">
        <v>1530</v>
      </c>
      <c r="K37" s="187">
        <v>411</v>
      </c>
      <c r="L37" s="186">
        <v>411</v>
      </c>
      <c r="M37" s="187"/>
      <c r="N37" s="186"/>
      <c r="O37" s="187"/>
      <c r="P37" s="186"/>
      <c r="Q37" s="187"/>
      <c r="R37" s="186"/>
      <c r="S37" s="187"/>
      <c r="T37" s="186"/>
      <c r="U37" s="187"/>
      <c r="V37" s="186"/>
      <c r="W37" s="187"/>
      <c r="X37" s="186"/>
      <c r="Y37" s="187"/>
      <c r="Z37" s="186"/>
      <c r="AA37" s="187"/>
      <c r="AB37" s="186"/>
    </row>
    <row r="38" spans="1:28" x14ac:dyDescent="0.2">
      <c r="A38" s="441"/>
      <c r="B38" s="180" t="s">
        <v>155</v>
      </c>
      <c r="C38" s="181" t="s">
        <v>156</v>
      </c>
      <c r="D38" s="182">
        <f t="shared" si="4"/>
        <v>750</v>
      </c>
      <c r="E38" s="183">
        <v>393.6</v>
      </c>
      <c r="F38" s="184">
        <f t="shared" si="5"/>
        <v>750</v>
      </c>
      <c r="G38" s="187">
        <v>750</v>
      </c>
      <c r="H38" s="388">
        <v>750</v>
      </c>
      <c r="I38" s="187"/>
      <c r="J38" s="186"/>
      <c r="K38" s="187"/>
      <c r="L38" s="186"/>
      <c r="M38" s="187"/>
      <c r="N38" s="186"/>
      <c r="O38" s="187"/>
      <c r="P38" s="186"/>
      <c r="Q38" s="187"/>
      <c r="R38" s="186"/>
      <c r="S38" s="187"/>
      <c r="T38" s="186"/>
      <c r="U38" s="187"/>
      <c r="V38" s="186"/>
      <c r="W38" s="187"/>
      <c r="X38" s="186"/>
      <c r="Y38" s="187"/>
      <c r="Z38" s="186"/>
      <c r="AA38" s="187"/>
      <c r="AB38" s="186"/>
    </row>
    <row r="39" spans="1:28" x14ac:dyDescent="0.2">
      <c r="A39" s="441"/>
      <c r="B39" s="180" t="s">
        <v>157</v>
      </c>
      <c r="C39" s="181" t="s">
        <v>158</v>
      </c>
      <c r="D39" s="182">
        <f t="shared" si="4"/>
        <v>1500</v>
      </c>
      <c r="E39" s="183">
        <v>921.86</v>
      </c>
      <c r="F39" s="184">
        <f t="shared" si="5"/>
        <v>1500</v>
      </c>
      <c r="G39" s="187">
        <v>200</v>
      </c>
      <c r="H39" s="388">
        <v>200</v>
      </c>
      <c r="I39" s="187">
        <v>1300</v>
      </c>
      <c r="J39" s="186">
        <v>1300</v>
      </c>
      <c r="K39" s="187"/>
      <c r="L39" s="186"/>
      <c r="M39" s="187"/>
      <c r="N39" s="186"/>
      <c r="O39" s="187"/>
      <c r="P39" s="186"/>
      <c r="Q39" s="187"/>
      <c r="R39" s="186"/>
      <c r="S39" s="187"/>
      <c r="T39" s="186"/>
      <c r="U39" s="187"/>
      <c r="V39" s="186"/>
      <c r="W39" s="187"/>
      <c r="X39" s="186"/>
      <c r="Y39" s="187"/>
      <c r="Z39" s="186"/>
      <c r="AA39" s="187"/>
      <c r="AB39" s="186"/>
    </row>
    <row r="40" spans="1:28" ht="25.5" x14ac:dyDescent="0.2">
      <c r="A40" s="441"/>
      <c r="B40" s="180" t="s">
        <v>159</v>
      </c>
      <c r="C40" s="181" t="s">
        <v>160</v>
      </c>
      <c r="D40" s="182">
        <f t="shared" si="4"/>
        <v>3000</v>
      </c>
      <c r="E40" s="183">
        <v>2542</v>
      </c>
      <c r="F40" s="184">
        <f t="shared" si="5"/>
        <v>3000</v>
      </c>
      <c r="G40" s="187">
        <v>3000</v>
      </c>
      <c r="H40" s="388">
        <v>3000</v>
      </c>
      <c r="I40" s="187"/>
      <c r="J40" s="186"/>
      <c r="K40" s="187"/>
      <c r="L40" s="186"/>
      <c r="M40" s="187"/>
      <c r="N40" s="186"/>
      <c r="O40" s="187"/>
      <c r="P40" s="186"/>
      <c r="Q40" s="187"/>
      <c r="R40" s="186"/>
      <c r="S40" s="187"/>
      <c r="T40" s="186"/>
      <c r="U40" s="187"/>
      <c r="V40" s="186"/>
      <c r="W40" s="187"/>
      <c r="X40" s="186"/>
      <c r="Y40" s="187"/>
      <c r="Z40" s="186"/>
      <c r="AA40" s="187"/>
      <c r="AB40" s="186"/>
    </row>
    <row r="41" spans="1:28" x14ac:dyDescent="0.2">
      <c r="A41" s="441"/>
      <c r="B41" s="180" t="s">
        <v>161</v>
      </c>
      <c r="C41" s="181" t="s">
        <v>162</v>
      </c>
      <c r="D41" s="182">
        <f t="shared" si="4"/>
        <v>5331</v>
      </c>
      <c r="E41" s="183">
        <v>3533.7</v>
      </c>
      <c r="F41" s="184">
        <f t="shared" si="5"/>
        <v>5331</v>
      </c>
      <c r="G41" s="187">
        <v>300</v>
      </c>
      <c r="H41" s="388">
        <v>300</v>
      </c>
      <c r="I41" s="187"/>
      <c r="J41" s="186"/>
      <c r="K41" s="187">
        <v>1631</v>
      </c>
      <c r="L41" s="186">
        <v>1631</v>
      </c>
      <c r="M41" s="187"/>
      <c r="N41" s="186"/>
      <c r="O41" s="187"/>
      <c r="P41" s="186"/>
      <c r="Q41" s="187">
        <v>1000</v>
      </c>
      <c r="R41" s="186">
        <v>1000</v>
      </c>
      <c r="S41" s="187"/>
      <c r="T41" s="186"/>
      <c r="U41" s="187">
        <v>2400</v>
      </c>
      <c r="V41" s="186">
        <v>2400</v>
      </c>
      <c r="W41" s="187"/>
      <c r="X41" s="186"/>
      <c r="Y41" s="187"/>
      <c r="Z41" s="186"/>
      <c r="AA41" s="187"/>
      <c r="AB41" s="186"/>
    </row>
    <row r="42" spans="1:28" ht="25.5" x14ac:dyDescent="0.2">
      <c r="A42" s="441"/>
      <c r="B42" s="180" t="s">
        <v>163</v>
      </c>
      <c r="C42" s="181" t="s">
        <v>164</v>
      </c>
      <c r="D42" s="182">
        <f t="shared" si="4"/>
        <v>10800</v>
      </c>
      <c r="E42" s="183">
        <v>9796</v>
      </c>
      <c r="F42" s="184">
        <f t="shared" si="5"/>
        <v>10800</v>
      </c>
      <c r="G42" s="187"/>
      <c r="H42" s="388"/>
      <c r="I42" s="187"/>
      <c r="J42" s="186"/>
      <c r="K42" s="187">
        <v>6800</v>
      </c>
      <c r="L42" s="186">
        <v>6800</v>
      </c>
      <c r="M42" s="187">
        <v>700</v>
      </c>
      <c r="N42" s="186">
        <v>700</v>
      </c>
      <c r="O42" s="187"/>
      <c r="P42" s="186"/>
      <c r="Q42" s="187">
        <v>2600</v>
      </c>
      <c r="R42" s="186">
        <v>2600</v>
      </c>
      <c r="S42" s="187"/>
      <c r="T42" s="186"/>
      <c r="U42" s="187"/>
      <c r="V42" s="186"/>
      <c r="W42" s="187">
        <v>700</v>
      </c>
      <c r="X42" s="186">
        <v>700</v>
      </c>
      <c r="Y42" s="187"/>
      <c r="Z42" s="186"/>
      <c r="AA42" s="187"/>
      <c r="AB42" s="186"/>
    </row>
    <row r="43" spans="1:28" x14ac:dyDescent="0.2">
      <c r="A43" s="441"/>
      <c r="B43" s="180" t="s">
        <v>165</v>
      </c>
      <c r="C43" s="181" t="s">
        <v>166</v>
      </c>
      <c r="D43" s="182">
        <f t="shared" si="4"/>
        <v>0</v>
      </c>
      <c r="E43" s="183">
        <v>0</v>
      </c>
      <c r="F43" s="184">
        <f t="shared" si="5"/>
        <v>0</v>
      </c>
      <c r="G43" s="187"/>
      <c r="H43" s="388"/>
      <c r="I43" s="187"/>
      <c r="J43" s="186"/>
      <c r="K43" s="187"/>
      <c r="L43" s="186"/>
      <c r="M43" s="187"/>
      <c r="N43" s="186"/>
      <c r="O43" s="187"/>
      <c r="P43" s="186"/>
      <c r="Q43" s="187"/>
      <c r="R43" s="186"/>
      <c r="S43" s="187"/>
      <c r="T43" s="186"/>
      <c r="U43" s="187"/>
      <c r="V43" s="186"/>
      <c r="W43" s="187"/>
      <c r="X43" s="186"/>
      <c r="Y43" s="187"/>
      <c r="Z43" s="186"/>
      <c r="AA43" s="187"/>
      <c r="AB43" s="186"/>
    </row>
    <row r="44" spans="1:28" x14ac:dyDescent="0.2">
      <c r="A44" s="441"/>
      <c r="B44" s="180" t="s">
        <v>167</v>
      </c>
      <c r="C44" s="181" t="s">
        <v>168</v>
      </c>
      <c r="D44" s="182">
        <f t="shared" si="4"/>
        <v>2000</v>
      </c>
      <c r="E44" s="183">
        <v>365.46</v>
      </c>
      <c r="F44" s="184">
        <f t="shared" si="5"/>
        <v>2000</v>
      </c>
      <c r="G44" s="187">
        <v>2000</v>
      </c>
      <c r="H44" s="388">
        <v>2000</v>
      </c>
      <c r="I44" s="187"/>
      <c r="J44" s="186"/>
      <c r="K44" s="187"/>
      <c r="L44" s="186"/>
      <c r="M44" s="187"/>
      <c r="N44" s="186"/>
      <c r="O44" s="187"/>
      <c r="P44" s="186"/>
      <c r="Q44" s="187"/>
      <c r="R44" s="186"/>
      <c r="S44" s="187"/>
      <c r="T44" s="186"/>
      <c r="U44" s="187"/>
      <c r="V44" s="186"/>
      <c r="W44" s="187"/>
      <c r="X44" s="186"/>
      <c r="Y44" s="187"/>
      <c r="Z44" s="186"/>
      <c r="AA44" s="187"/>
      <c r="AB44" s="186"/>
    </row>
    <row r="45" spans="1:28" x14ac:dyDescent="0.2">
      <c r="A45" s="441"/>
      <c r="B45" s="180" t="s">
        <v>169</v>
      </c>
      <c r="C45" s="181" t="s">
        <v>170</v>
      </c>
      <c r="D45" s="182">
        <f t="shared" si="4"/>
        <v>0</v>
      </c>
      <c r="E45" s="183">
        <v>0</v>
      </c>
      <c r="F45" s="184">
        <f t="shared" si="5"/>
        <v>0</v>
      </c>
      <c r="G45" s="187"/>
      <c r="H45" s="388"/>
      <c r="I45" s="187"/>
      <c r="J45" s="186"/>
      <c r="K45" s="187"/>
      <c r="L45" s="186"/>
      <c r="M45" s="187"/>
      <c r="N45" s="186"/>
      <c r="O45" s="187"/>
      <c r="P45" s="186"/>
      <c r="Q45" s="187"/>
      <c r="R45" s="186"/>
      <c r="S45" s="187"/>
      <c r="T45" s="186"/>
      <c r="U45" s="187"/>
      <c r="V45" s="186"/>
      <c r="W45" s="187"/>
      <c r="X45" s="186"/>
      <c r="Y45" s="187"/>
      <c r="Z45" s="186"/>
      <c r="AA45" s="187"/>
      <c r="AB45" s="186"/>
    </row>
    <row r="46" spans="1:28" x14ac:dyDescent="0.2">
      <c r="A46" s="441"/>
      <c r="B46" s="190" t="s">
        <v>172</v>
      </c>
      <c r="C46" s="191" t="s">
        <v>173</v>
      </c>
      <c r="D46" s="192">
        <f t="shared" si="4"/>
        <v>0</v>
      </c>
      <c r="E46" s="193">
        <v>0</v>
      </c>
      <c r="F46" s="194">
        <f t="shared" si="5"/>
        <v>0</v>
      </c>
      <c r="G46" s="197"/>
      <c r="H46" s="391"/>
      <c r="I46" s="197"/>
      <c r="J46" s="196"/>
      <c r="K46" s="197"/>
      <c r="L46" s="196"/>
      <c r="M46" s="197"/>
      <c r="N46" s="196"/>
      <c r="O46" s="197"/>
      <c r="P46" s="196"/>
      <c r="Q46" s="197"/>
      <c r="R46" s="196"/>
      <c r="S46" s="197"/>
      <c r="T46" s="196"/>
      <c r="U46" s="197"/>
      <c r="V46" s="196"/>
      <c r="W46" s="197"/>
      <c r="X46" s="196"/>
      <c r="Y46" s="197"/>
      <c r="Z46" s="196"/>
      <c r="AA46" s="197"/>
      <c r="AB46" s="196"/>
    </row>
    <row r="47" spans="1:28" ht="12.75" customHeight="1" x14ac:dyDescent="0.2">
      <c r="A47" s="441">
        <v>430</v>
      </c>
      <c r="B47" s="443" t="s">
        <v>174</v>
      </c>
      <c r="C47" s="443"/>
      <c r="D47" s="175">
        <f t="shared" si="4"/>
        <v>308451</v>
      </c>
      <c r="E47" s="176">
        <f>SUM(E48:E50)</f>
        <v>224538.86000000002</v>
      </c>
      <c r="F47" s="177">
        <f t="shared" si="5"/>
        <v>375404</v>
      </c>
      <c r="G47" s="179">
        <f t="shared" ref="G47:AB47" si="8">SUM(G48:G50)</f>
        <v>258120</v>
      </c>
      <c r="H47" s="387">
        <f t="shared" si="8"/>
        <v>320504</v>
      </c>
      <c r="I47" s="179">
        <f t="shared" si="8"/>
        <v>0</v>
      </c>
      <c r="J47" s="199">
        <f t="shared" si="8"/>
        <v>0</v>
      </c>
      <c r="K47" s="179">
        <f t="shared" si="8"/>
        <v>11100</v>
      </c>
      <c r="L47" s="178">
        <f t="shared" si="8"/>
        <v>11500</v>
      </c>
      <c r="M47" s="179">
        <f t="shared" si="8"/>
        <v>0</v>
      </c>
      <c r="N47" s="178">
        <f t="shared" si="8"/>
        <v>2000</v>
      </c>
      <c r="O47" s="179">
        <f t="shared" si="8"/>
        <v>711</v>
      </c>
      <c r="P47" s="178">
        <f t="shared" si="8"/>
        <v>2000</v>
      </c>
      <c r="Q47" s="179">
        <f t="shared" si="8"/>
        <v>4400</v>
      </c>
      <c r="R47" s="199">
        <f t="shared" si="8"/>
        <v>4500</v>
      </c>
      <c r="S47" s="179">
        <f t="shared" si="8"/>
        <v>0</v>
      </c>
      <c r="T47" s="178">
        <f t="shared" si="8"/>
        <v>0</v>
      </c>
      <c r="U47" s="179">
        <f t="shared" si="8"/>
        <v>20000</v>
      </c>
      <c r="V47" s="178">
        <f t="shared" si="8"/>
        <v>17880</v>
      </c>
      <c r="W47" s="179">
        <f t="shared" si="8"/>
        <v>500</v>
      </c>
      <c r="X47" s="178">
        <f t="shared" si="8"/>
        <v>7020</v>
      </c>
      <c r="Y47" s="179">
        <f t="shared" si="8"/>
        <v>13620</v>
      </c>
      <c r="Z47" s="178">
        <f t="shared" si="8"/>
        <v>10000</v>
      </c>
      <c r="AA47" s="179">
        <f t="shared" si="8"/>
        <v>0</v>
      </c>
      <c r="AB47" s="199">
        <f t="shared" si="8"/>
        <v>0</v>
      </c>
    </row>
    <row r="48" spans="1:28" x14ac:dyDescent="0.2">
      <c r="A48" s="441"/>
      <c r="B48" s="180" t="s">
        <v>175</v>
      </c>
      <c r="C48" s="181" t="s">
        <v>176</v>
      </c>
      <c r="D48" s="182">
        <f t="shared" si="4"/>
        <v>225500</v>
      </c>
      <c r="E48" s="183">
        <v>159401.72</v>
      </c>
      <c r="F48" s="184">
        <f t="shared" si="5"/>
        <v>272043</v>
      </c>
      <c r="G48" s="187">
        <v>225500</v>
      </c>
      <c r="H48" s="388">
        <v>272043</v>
      </c>
      <c r="I48" s="187"/>
      <c r="J48" s="186"/>
      <c r="K48" s="187"/>
      <c r="L48" s="186"/>
      <c r="M48" s="187"/>
      <c r="N48" s="186"/>
      <c r="O48" s="187"/>
      <c r="P48" s="186"/>
      <c r="Q48" s="187"/>
      <c r="R48" s="186"/>
      <c r="S48" s="187"/>
      <c r="T48" s="186"/>
      <c r="U48" s="187"/>
      <c r="V48" s="186"/>
      <c r="W48" s="187"/>
      <c r="X48" s="186"/>
      <c r="Y48" s="187"/>
      <c r="Z48" s="186"/>
      <c r="AA48" s="187"/>
      <c r="AB48" s="186"/>
    </row>
    <row r="49" spans="1:29" ht="25.5" x14ac:dyDescent="0.2">
      <c r="A49" s="441"/>
      <c r="B49" s="180" t="s">
        <v>177</v>
      </c>
      <c r="C49" s="181" t="s">
        <v>178</v>
      </c>
      <c r="D49" s="182">
        <f t="shared" si="4"/>
        <v>28570</v>
      </c>
      <c r="E49" s="183">
        <v>22218.04</v>
      </c>
      <c r="F49" s="184">
        <f t="shared" si="5"/>
        <v>46461</v>
      </c>
      <c r="G49" s="187">
        <v>28570</v>
      </c>
      <c r="H49" s="388">
        <v>46461</v>
      </c>
      <c r="I49" s="187"/>
      <c r="J49" s="186"/>
      <c r="K49" s="187"/>
      <c r="L49" s="186"/>
      <c r="M49" s="187"/>
      <c r="N49" s="186"/>
      <c r="O49" s="187"/>
      <c r="P49" s="186"/>
      <c r="Q49" s="187"/>
      <c r="R49" s="186"/>
      <c r="S49" s="187"/>
      <c r="T49" s="186"/>
      <c r="U49" s="187"/>
      <c r="V49" s="186"/>
      <c r="W49" s="187"/>
      <c r="X49" s="186"/>
      <c r="Y49" s="187"/>
      <c r="Z49" s="186"/>
      <c r="AA49" s="187"/>
      <c r="AB49" s="186"/>
    </row>
    <row r="50" spans="1:29" x14ac:dyDescent="0.2">
      <c r="A50" s="441"/>
      <c r="B50" s="213" t="s">
        <v>179</v>
      </c>
      <c r="C50" s="214" t="s">
        <v>180</v>
      </c>
      <c r="D50" s="215">
        <f t="shared" si="4"/>
        <v>54381</v>
      </c>
      <c r="E50" s="216">
        <v>42919.1</v>
      </c>
      <c r="F50" s="217">
        <f t="shared" si="5"/>
        <v>56900</v>
      </c>
      <c r="G50" s="197">
        <v>4050</v>
      </c>
      <c r="H50" s="391">
        <v>2000</v>
      </c>
      <c r="I50" s="197"/>
      <c r="J50" s="196"/>
      <c r="K50" s="197">
        <v>11100</v>
      </c>
      <c r="L50" s="196">
        <v>11500</v>
      </c>
      <c r="M50" s="197"/>
      <c r="N50" s="196">
        <v>2000</v>
      </c>
      <c r="O50" s="197">
        <v>711</v>
      </c>
      <c r="P50" s="196">
        <v>2000</v>
      </c>
      <c r="Q50" s="197">
        <v>4400</v>
      </c>
      <c r="R50" s="196">
        <v>4500</v>
      </c>
      <c r="S50" s="197"/>
      <c r="T50" s="196"/>
      <c r="U50" s="197">
        <v>20000</v>
      </c>
      <c r="V50" s="196">
        <f>3840+14040</f>
        <v>17880</v>
      </c>
      <c r="W50" s="197">
        <v>500</v>
      </c>
      <c r="X50" s="196">
        <f>7020</f>
        <v>7020</v>
      </c>
      <c r="Y50" s="197">
        <v>13620</v>
      </c>
      <c r="Z50" s="196">
        <v>10000</v>
      </c>
      <c r="AA50" s="197"/>
      <c r="AB50" s="196"/>
    </row>
    <row r="51" spans="1:29" s="152" customFormat="1" ht="12.75" customHeight="1" x14ac:dyDescent="0.2">
      <c r="A51" s="218">
        <v>440</v>
      </c>
      <c r="B51" s="448" t="s">
        <v>181</v>
      </c>
      <c r="C51" s="448"/>
      <c r="D51" s="176">
        <f t="shared" si="4"/>
        <v>5248</v>
      </c>
      <c r="E51" s="175">
        <v>5247.22</v>
      </c>
      <c r="F51" s="177">
        <f t="shared" si="5"/>
        <v>6898</v>
      </c>
      <c r="G51" s="221">
        <v>5248</v>
      </c>
      <c r="H51" s="394">
        <v>6898</v>
      </c>
      <c r="I51" s="221"/>
      <c r="J51" s="220"/>
      <c r="K51" s="221"/>
      <c r="L51" s="220"/>
      <c r="M51" s="221"/>
      <c r="N51" s="220"/>
      <c r="O51" s="221"/>
      <c r="P51" s="220"/>
      <c r="Q51" s="221"/>
      <c r="R51" s="220"/>
      <c r="S51" s="221"/>
      <c r="T51" s="220"/>
      <c r="U51" s="221"/>
      <c r="V51" s="220"/>
      <c r="W51" s="221"/>
      <c r="X51" s="220"/>
      <c r="Y51" s="221"/>
      <c r="Z51" s="220"/>
      <c r="AA51" s="222"/>
      <c r="AB51" s="220"/>
      <c r="AC51" s="155"/>
    </row>
    <row r="52" spans="1:29" s="152" customFormat="1" ht="12.75" customHeight="1" x14ac:dyDescent="0.2">
      <c r="A52" s="449">
        <v>441</v>
      </c>
      <c r="B52" s="442" t="s">
        <v>182</v>
      </c>
      <c r="C52" s="442"/>
      <c r="D52" s="175">
        <f t="shared" si="4"/>
        <v>1343</v>
      </c>
      <c r="E52" s="176">
        <f>SUM(E53:E56)</f>
        <v>1123</v>
      </c>
      <c r="F52" s="177">
        <f t="shared" si="5"/>
        <v>1343</v>
      </c>
      <c r="G52" s="179">
        <f t="shared" ref="G52:AB52" si="9">SUM(G53:G56)</f>
        <v>1343</v>
      </c>
      <c r="H52" s="387">
        <f t="shared" si="9"/>
        <v>1343</v>
      </c>
      <c r="I52" s="179">
        <f t="shared" si="9"/>
        <v>0</v>
      </c>
      <c r="J52" s="199">
        <f t="shared" si="9"/>
        <v>0</v>
      </c>
      <c r="K52" s="179">
        <f t="shared" si="9"/>
        <v>0</v>
      </c>
      <c r="L52" s="178">
        <f t="shared" si="9"/>
        <v>0</v>
      </c>
      <c r="M52" s="179">
        <f t="shared" si="9"/>
        <v>0</v>
      </c>
      <c r="N52" s="178">
        <f t="shared" si="9"/>
        <v>0</v>
      </c>
      <c r="O52" s="179">
        <f t="shared" si="9"/>
        <v>0</v>
      </c>
      <c r="P52" s="178">
        <f t="shared" si="9"/>
        <v>0</v>
      </c>
      <c r="Q52" s="179">
        <f t="shared" si="9"/>
        <v>0</v>
      </c>
      <c r="R52" s="199">
        <f t="shared" si="9"/>
        <v>0</v>
      </c>
      <c r="S52" s="179">
        <f t="shared" si="9"/>
        <v>0</v>
      </c>
      <c r="T52" s="178">
        <f t="shared" si="9"/>
        <v>0</v>
      </c>
      <c r="U52" s="179">
        <f t="shared" si="9"/>
        <v>0</v>
      </c>
      <c r="V52" s="178">
        <f t="shared" si="9"/>
        <v>0</v>
      </c>
      <c r="W52" s="179">
        <f t="shared" si="9"/>
        <v>0</v>
      </c>
      <c r="X52" s="178">
        <f t="shared" si="9"/>
        <v>0</v>
      </c>
      <c r="Y52" s="179">
        <f t="shared" si="9"/>
        <v>0</v>
      </c>
      <c r="Z52" s="178">
        <f t="shared" si="9"/>
        <v>0</v>
      </c>
      <c r="AA52" s="179">
        <f t="shared" si="9"/>
        <v>0</v>
      </c>
      <c r="AB52" s="199">
        <f t="shared" si="9"/>
        <v>0</v>
      </c>
      <c r="AC52" s="155"/>
    </row>
    <row r="53" spans="1:29" x14ac:dyDescent="0.2">
      <c r="A53" s="449"/>
      <c r="B53" s="180" t="s">
        <v>183</v>
      </c>
      <c r="C53" s="181" t="s">
        <v>184</v>
      </c>
      <c r="D53" s="182">
        <f t="shared" si="4"/>
        <v>243</v>
      </c>
      <c r="E53" s="183">
        <v>243</v>
      </c>
      <c r="F53" s="184">
        <f t="shared" si="5"/>
        <v>243</v>
      </c>
      <c r="G53" s="187">
        <v>243</v>
      </c>
      <c r="H53" s="388">
        <v>243</v>
      </c>
      <c r="I53" s="187"/>
      <c r="J53" s="186"/>
      <c r="K53" s="187"/>
      <c r="L53" s="186"/>
      <c r="M53" s="187"/>
      <c r="N53" s="186"/>
      <c r="O53" s="187"/>
      <c r="P53" s="186"/>
      <c r="Q53" s="187"/>
      <c r="R53" s="186"/>
      <c r="S53" s="187"/>
      <c r="T53" s="186"/>
      <c r="U53" s="187"/>
      <c r="V53" s="186"/>
      <c r="W53" s="187"/>
      <c r="X53" s="186"/>
      <c r="Y53" s="187"/>
      <c r="Z53" s="186"/>
      <c r="AA53" s="187"/>
      <c r="AB53" s="186"/>
    </row>
    <row r="54" spans="1:29" x14ac:dyDescent="0.2">
      <c r="A54" s="449"/>
      <c r="B54" s="180" t="s">
        <v>185</v>
      </c>
      <c r="C54" s="181" t="s">
        <v>186</v>
      </c>
      <c r="D54" s="182">
        <f t="shared" si="4"/>
        <v>900</v>
      </c>
      <c r="E54" s="183">
        <v>880</v>
      </c>
      <c r="F54" s="184">
        <f t="shared" si="5"/>
        <v>900</v>
      </c>
      <c r="G54" s="187">
        <v>900</v>
      </c>
      <c r="H54" s="388">
        <v>900</v>
      </c>
      <c r="I54" s="187"/>
      <c r="J54" s="186"/>
      <c r="K54" s="187"/>
      <c r="L54" s="186"/>
      <c r="M54" s="187"/>
      <c r="N54" s="186"/>
      <c r="O54" s="187"/>
      <c r="P54" s="186"/>
      <c r="Q54" s="187"/>
      <c r="R54" s="186"/>
      <c r="S54" s="187"/>
      <c r="T54" s="186"/>
      <c r="U54" s="187"/>
      <c r="V54" s="186"/>
      <c r="W54" s="187"/>
      <c r="X54" s="186"/>
      <c r="Y54" s="187"/>
      <c r="Z54" s="186"/>
      <c r="AA54" s="187"/>
      <c r="AB54" s="186"/>
    </row>
    <row r="55" spans="1:29" x14ac:dyDescent="0.2">
      <c r="A55" s="449"/>
      <c r="B55" s="180" t="s">
        <v>187</v>
      </c>
      <c r="C55" s="181" t="s">
        <v>188</v>
      </c>
      <c r="D55" s="182">
        <f t="shared" si="4"/>
        <v>150</v>
      </c>
      <c r="E55" s="183">
        <v>0</v>
      </c>
      <c r="F55" s="184">
        <f t="shared" si="5"/>
        <v>150</v>
      </c>
      <c r="G55" s="187">
        <v>150</v>
      </c>
      <c r="H55" s="388">
        <v>150</v>
      </c>
      <c r="I55" s="187"/>
      <c r="J55" s="186"/>
      <c r="K55" s="187"/>
      <c r="L55" s="186"/>
      <c r="M55" s="187"/>
      <c r="N55" s="186"/>
      <c r="O55" s="187"/>
      <c r="P55" s="186"/>
      <c r="Q55" s="187"/>
      <c r="R55" s="186"/>
      <c r="S55" s="187"/>
      <c r="T55" s="186"/>
      <c r="U55" s="187"/>
      <c r="V55" s="186"/>
      <c r="W55" s="187"/>
      <c r="X55" s="186"/>
      <c r="Y55" s="187"/>
      <c r="Z55" s="186"/>
      <c r="AA55" s="187"/>
      <c r="AB55" s="186"/>
    </row>
    <row r="56" spans="1:29" x14ac:dyDescent="0.2">
      <c r="A56" s="449"/>
      <c r="B56" s="190" t="s">
        <v>189</v>
      </c>
      <c r="C56" s="191" t="s">
        <v>190</v>
      </c>
      <c r="D56" s="215">
        <f t="shared" si="4"/>
        <v>50</v>
      </c>
      <c r="E56" s="216">
        <v>0</v>
      </c>
      <c r="F56" s="217">
        <f t="shared" si="5"/>
        <v>50</v>
      </c>
      <c r="G56" s="197">
        <v>50</v>
      </c>
      <c r="H56" s="391">
        <v>50</v>
      </c>
      <c r="I56" s="197"/>
      <c r="J56" s="196"/>
      <c r="K56" s="197"/>
      <c r="L56" s="196"/>
      <c r="M56" s="197"/>
      <c r="N56" s="196"/>
      <c r="O56" s="197"/>
      <c r="P56" s="196"/>
      <c r="Q56" s="197"/>
      <c r="R56" s="196"/>
      <c r="S56" s="197"/>
      <c r="T56" s="196"/>
      <c r="U56" s="197"/>
      <c r="V56" s="196"/>
      <c r="W56" s="197"/>
      <c r="X56" s="196"/>
      <c r="Y56" s="197"/>
      <c r="Z56" s="196"/>
      <c r="AA56" s="197"/>
      <c r="AB56" s="196"/>
    </row>
    <row r="57" spans="1:29" s="152" customFormat="1" ht="12.75" customHeight="1" x14ac:dyDescent="0.2">
      <c r="A57" s="441">
        <v>445</v>
      </c>
      <c r="B57" s="443" t="s">
        <v>191</v>
      </c>
      <c r="C57" s="443"/>
      <c r="D57" s="175">
        <f t="shared" si="4"/>
        <v>49500</v>
      </c>
      <c r="E57" s="176">
        <f>SUM(E58:E59)</f>
        <v>35120.630000000005</v>
      </c>
      <c r="F57" s="177">
        <f t="shared" si="5"/>
        <v>66390</v>
      </c>
      <c r="G57" s="179">
        <f t="shared" ref="G57:AB57" si="10">SUM(G58:G59)</f>
        <v>49500</v>
      </c>
      <c r="H57" s="387">
        <f t="shared" si="10"/>
        <v>66390</v>
      </c>
      <c r="I57" s="179">
        <f t="shared" si="10"/>
        <v>0</v>
      </c>
      <c r="J57" s="199">
        <f t="shared" si="10"/>
        <v>0</v>
      </c>
      <c r="K57" s="179">
        <f t="shared" si="10"/>
        <v>0</v>
      </c>
      <c r="L57" s="178">
        <f t="shared" si="10"/>
        <v>0</v>
      </c>
      <c r="M57" s="179">
        <f t="shared" si="10"/>
        <v>0</v>
      </c>
      <c r="N57" s="178">
        <f t="shared" si="10"/>
        <v>0</v>
      </c>
      <c r="O57" s="179">
        <f t="shared" si="10"/>
        <v>0</v>
      </c>
      <c r="P57" s="178">
        <f t="shared" si="10"/>
        <v>0</v>
      </c>
      <c r="Q57" s="179">
        <f t="shared" si="10"/>
        <v>0</v>
      </c>
      <c r="R57" s="199">
        <f t="shared" si="10"/>
        <v>0</v>
      </c>
      <c r="S57" s="179">
        <f t="shared" si="10"/>
        <v>0</v>
      </c>
      <c r="T57" s="178">
        <f t="shared" si="10"/>
        <v>0</v>
      </c>
      <c r="U57" s="179">
        <f t="shared" si="10"/>
        <v>0</v>
      </c>
      <c r="V57" s="178">
        <f t="shared" si="10"/>
        <v>0</v>
      </c>
      <c r="W57" s="179">
        <f t="shared" si="10"/>
        <v>0</v>
      </c>
      <c r="X57" s="178">
        <f t="shared" si="10"/>
        <v>0</v>
      </c>
      <c r="Y57" s="179">
        <f t="shared" si="10"/>
        <v>0</v>
      </c>
      <c r="Z57" s="178">
        <f t="shared" si="10"/>
        <v>0</v>
      </c>
      <c r="AA57" s="179">
        <f t="shared" si="10"/>
        <v>0</v>
      </c>
      <c r="AB57" s="199">
        <f t="shared" si="10"/>
        <v>0</v>
      </c>
      <c r="AC57" s="155"/>
    </row>
    <row r="58" spans="1:29" x14ac:dyDescent="0.2">
      <c r="A58" s="441"/>
      <c r="B58" s="180" t="s">
        <v>192</v>
      </c>
      <c r="C58" s="181" t="s">
        <v>193</v>
      </c>
      <c r="D58" s="182">
        <f t="shared" si="4"/>
        <v>46000</v>
      </c>
      <c r="E58" s="183">
        <v>33099.65</v>
      </c>
      <c r="F58" s="184">
        <f t="shared" si="5"/>
        <v>61466</v>
      </c>
      <c r="G58" s="187">
        <v>46000</v>
      </c>
      <c r="H58" s="388">
        <v>61466</v>
      </c>
      <c r="I58" s="187"/>
      <c r="J58" s="186"/>
      <c r="K58" s="187"/>
      <c r="L58" s="186"/>
      <c r="M58" s="187"/>
      <c r="N58" s="186"/>
      <c r="O58" s="187"/>
      <c r="P58" s="186"/>
      <c r="Q58" s="187"/>
      <c r="R58" s="186"/>
      <c r="S58" s="187"/>
      <c r="T58" s="186"/>
      <c r="U58" s="187"/>
      <c r="V58" s="186"/>
      <c r="W58" s="187"/>
      <c r="X58" s="186"/>
      <c r="Y58" s="187"/>
      <c r="Z58" s="186"/>
      <c r="AA58" s="187"/>
      <c r="AB58" s="186"/>
    </row>
    <row r="59" spans="1:29" x14ac:dyDescent="0.2">
      <c r="A59" s="441"/>
      <c r="B59" s="190" t="s">
        <v>194</v>
      </c>
      <c r="C59" s="191" t="s">
        <v>195</v>
      </c>
      <c r="D59" s="215">
        <f t="shared" si="4"/>
        <v>3500</v>
      </c>
      <c r="E59" s="183">
        <v>2020.98</v>
      </c>
      <c r="F59" s="217">
        <f t="shared" si="5"/>
        <v>4924</v>
      </c>
      <c r="G59" s="389">
        <v>3500</v>
      </c>
      <c r="H59" s="390">
        <v>4924</v>
      </c>
      <c r="I59" s="197"/>
      <c r="J59" s="196"/>
      <c r="K59" s="197"/>
      <c r="L59" s="196"/>
      <c r="M59" s="197"/>
      <c r="N59" s="196"/>
      <c r="O59" s="197"/>
      <c r="P59" s="196"/>
      <c r="Q59" s="197"/>
      <c r="R59" s="196"/>
      <c r="S59" s="197"/>
      <c r="T59" s="196"/>
      <c r="U59" s="197"/>
      <c r="V59" s="196"/>
      <c r="W59" s="197"/>
      <c r="X59" s="196"/>
      <c r="Y59" s="197"/>
      <c r="Z59" s="196"/>
      <c r="AA59" s="197"/>
      <c r="AB59" s="196"/>
    </row>
    <row r="60" spans="1:29" s="152" customFormat="1" ht="12.75" customHeight="1" x14ac:dyDescent="0.2">
      <c r="A60" s="441">
        <v>450</v>
      </c>
      <c r="B60" s="443" t="s">
        <v>196</v>
      </c>
      <c r="C60" s="443"/>
      <c r="D60" s="175">
        <f t="shared" si="4"/>
        <v>3071</v>
      </c>
      <c r="E60" s="176">
        <f>SUM(E61:E62)</f>
        <v>2401</v>
      </c>
      <c r="F60" s="177">
        <f t="shared" si="5"/>
        <v>3071</v>
      </c>
      <c r="G60" s="175">
        <f t="shared" ref="G60:AB60" si="11">SUM(G61:G62)</f>
        <v>3071</v>
      </c>
      <c r="H60" s="395">
        <f t="shared" si="11"/>
        <v>3071</v>
      </c>
      <c r="I60" s="179">
        <f t="shared" si="11"/>
        <v>0</v>
      </c>
      <c r="J60" s="199">
        <f t="shared" si="11"/>
        <v>0</v>
      </c>
      <c r="K60" s="179">
        <f t="shared" si="11"/>
        <v>0</v>
      </c>
      <c r="L60" s="178">
        <f t="shared" si="11"/>
        <v>0</v>
      </c>
      <c r="M60" s="226">
        <f t="shared" si="11"/>
        <v>0</v>
      </c>
      <c r="N60" s="178">
        <f t="shared" si="11"/>
        <v>0</v>
      </c>
      <c r="O60" s="179">
        <f t="shared" si="11"/>
        <v>0</v>
      </c>
      <c r="P60" s="178">
        <f t="shared" si="11"/>
        <v>0</v>
      </c>
      <c r="Q60" s="179">
        <f t="shared" si="11"/>
        <v>0</v>
      </c>
      <c r="R60" s="199">
        <f t="shared" si="11"/>
        <v>0</v>
      </c>
      <c r="S60" s="179">
        <f t="shared" si="11"/>
        <v>0</v>
      </c>
      <c r="T60" s="178">
        <f t="shared" si="11"/>
        <v>0</v>
      </c>
      <c r="U60" s="179">
        <f t="shared" si="11"/>
        <v>0</v>
      </c>
      <c r="V60" s="178">
        <f t="shared" si="11"/>
        <v>0</v>
      </c>
      <c r="W60" s="179">
        <f t="shared" si="11"/>
        <v>0</v>
      </c>
      <c r="X60" s="178">
        <f t="shared" si="11"/>
        <v>0</v>
      </c>
      <c r="Y60" s="179">
        <f t="shared" si="11"/>
        <v>0</v>
      </c>
      <c r="Z60" s="178">
        <f t="shared" si="11"/>
        <v>0</v>
      </c>
      <c r="AA60" s="179">
        <f t="shared" si="11"/>
        <v>0</v>
      </c>
      <c r="AB60" s="199">
        <f t="shared" si="11"/>
        <v>0</v>
      </c>
      <c r="AC60" s="155"/>
    </row>
    <row r="61" spans="1:29" x14ac:dyDescent="0.2">
      <c r="A61" s="441"/>
      <c r="B61" s="180" t="s">
        <v>197</v>
      </c>
      <c r="C61" s="181" t="s">
        <v>198</v>
      </c>
      <c r="D61" s="182">
        <v>2371</v>
      </c>
      <c r="E61" s="183">
        <v>2371</v>
      </c>
      <c r="F61" s="184">
        <f t="shared" si="5"/>
        <v>2371</v>
      </c>
      <c r="G61" s="187">
        <v>2371</v>
      </c>
      <c r="H61" s="388">
        <v>2371</v>
      </c>
      <c r="I61" s="187"/>
      <c r="J61" s="186"/>
      <c r="K61" s="187"/>
      <c r="L61" s="186"/>
      <c r="M61" s="187"/>
      <c r="N61" s="186"/>
      <c r="O61" s="187"/>
      <c r="P61" s="186"/>
      <c r="Q61" s="187"/>
      <c r="R61" s="186"/>
      <c r="S61" s="187"/>
      <c r="T61" s="186"/>
      <c r="U61" s="187"/>
      <c r="V61" s="186"/>
      <c r="W61" s="187"/>
      <c r="X61" s="186"/>
      <c r="Y61" s="187"/>
      <c r="Z61" s="186"/>
      <c r="AA61" s="187"/>
      <c r="AB61" s="186"/>
    </row>
    <row r="62" spans="1:29" x14ac:dyDescent="0.2">
      <c r="A62" s="441"/>
      <c r="B62" s="190" t="s">
        <v>199</v>
      </c>
      <c r="C62" s="191" t="s">
        <v>200</v>
      </c>
      <c r="D62" s="215">
        <f t="shared" ref="D62:D69" si="12">G62+I62+K62+M62+O62+Q62+S62+U62+W62+Y62+AA62</f>
        <v>700</v>
      </c>
      <c r="E62" s="216">
        <v>30</v>
      </c>
      <c r="F62" s="217">
        <f t="shared" si="5"/>
        <v>700</v>
      </c>
      <c r="G62" s="197">
        <v>700</v>
      </c>
      <c r="H62" s="391">
        <v>700</v>
      </c>
      <c r="I62" s="197"/>
      <c r="J62" s="196"/>
      <c r="K62" s="197"/>
      <c r="L62" s="196"/>
      <c r="M62" s="197"/>
      <c r="N62" s="196"/>
      <c r="O62" s="197"/>
      <c r="P62" s="196"/>
      <c r="Q62" s="197"/>
      <c r="R62" s="196"/>
      <c r="S62" s="197"/>
      <c r="T62" s="196"/>
      <c r="U62" s="197"/>
      <c r="V62" s="196"/>
      <c r="W62" s="197"/>
      <c r="X62" s="196"/>
      <c r="Y62" s="197"/>
      <c r="Z62" s="196"/>
      <c r="AA62" s="197"/>
      <c r="AB62" s="196"/>
    </row>
    <row r="63" spans="1:29" s="152" customFormat="1" ht="12.75" customHeight="1" x14ac:dyDescent="0.2">
      <c r="A63" s="446">
        <v>460</v>
      </c>
      <c r="B63" s="443" t="s">
        <v>201</v>
      </c>
      <c r="C63" s="443"/>
      <c r="D63" s="175">
        <f t="shared" si="12"/>
        <v>14870</v>
      </c>
      <c r="E63" s="176">
        <f>SUM(E64:E68)</f>
        <v>8808.75</v>
      </c>
      <c r="F63" s="177">
        <f t="shared" si="5"/>
        <v>15228</v>
      </c>
      <c r="G63" s="392">
        <f t="shared" ref="G63:AB63" si="13">SUM(G64:G68)</f>
        <v>9400</v>
      </c>
      <c r="H63" s="393">
        <f t="shared" si="13"/>
        <v>9758</v>
      </c>
      <c r="I63" s="179">
        <f t="shared" si="13"/>
        <v>970</v>
      </c>
      <c r="J63" s="199">
        <f t="shared" si="13"/>
        <v>970</v>
      </c>
      <c r="K63" s="179">
        <f t="shared" si="13"/>
        <v>0</v>
      </c>
      <c r="L63" s="178">
        <f t="shared" si="13"/>
        <v>0</v>
      </c>
      <c r="M63" s="179">
        <f t="shared" si="13"/>
        <v>0</v>
      </c>
      <c r="N63" s="178">
        <f t="shared" si="13"/>
        <v>0</v>
      </c>
      <c r="O63" s="179">
        <f t="shared" si="13"/>
        <v>3250</v>
      </c>
      <c r="P63" s="178">
        <f t="shared" si="13"/>
        <v>3250</v>
      </c>
      <c r="Q63" s="179">
        <f t="shared" si="13"/>
        <v>0</v>
      </c>
      <c r="R63" s="199">
        <f t="shared" si="13"/>
        <v>0</v>
      </c>
      <c r="S63" s="179">
        <f t="shared" si="13"/>
        <v>600</v>
      </c>
      <c r="T63" s="178">
        <f t="shared" si="13"/>
        <v>600</v>
      </c>
      <c r="U63" s="179">
        <f t="shared" si="13"/>
        <v>150</v>
      </c>
      <c r="V63" s="178">
        <f t="shared" si="13"/>
        <v>150</v>
      </c>
      <c r="W63" s="179">
        <f t="shared" si="13"/>
        <v>500</v>
      </c>
      <c r="X63" s="178">
        <f t="shared" si="13"/>
        <v>500</v>
      </c>
      <c r="Y63" s="179">
        <f t="shared" si="13"/>
        <v>0</v>
      </c>
      <c r="Z63" s="178">
        <f t="shared" si="13"/>
        <v>0</v>
      </c>
      <c r="AA63" s="179">
        <f t="shared" si="13"/>
        <v>0</v>
      </c>
      <c r="AB63" s="199">
        <f t="shared" si="13"/>
        <v>0</v>
      </c>
      <c r="AC63" s="155"/>
    </row>
    <row r="64" spans="1:29" x14ac:dyDescent="0.2">
      <c r="A64" s="446"/>
      <c r="B64" s="180" t="s">
        <v>202</v>
      </c>
      <c r="C64" s="181" t="s">
        <v>203</v>
      </c>
      <c r="D64" s="182">
        <f t="shared" si="12"/>
        <v>7030</v>
      </c>
      <c r="E64" s="183">
        <v>4258.75</v>
      </c>
      <c r="F64" s="184">
        <f t="shared" si="5"/>
        <v>8213</v>
      </c>
      <c r="G64" s="187">
        <v>6400</v>
      </c>
      <c r="H64" s="388">
        <v>7583</v>
      </c>
      <c r="I64" s="187"/>
      <c r="J64" s="186"/>
      <c r="K64" s="187"/>
      <c r="L64" s="186"/>
      <c r="M64" s="187"/>
      <c r="N64" s="186"/>
      <c r="O64" s="187"/>
      <c r="P64" s="186"/>
      <c r="Q64" s="187"/>
      <c r="R64" s="186"/>
      <c r="S64" s="187">
        <v>600</v>
      </c>
      <c r="T64" s="186">
        <v>600</v>
      </c>
      <c r="U64" s="187">
        <v>30</v>
      </c>
      <c r="V64" s="186">
        <v>30</v>
      </c>
      <c r="W64" s="187"/>
      <c r="X64" s="186"/>
      <c r="Y64" s="187"/>
      <c r="Z64" s="186"/>
      <c r="AA64" s="187"/>
      <c r="AB64" s="186"/>
    </row>
    <row r="65" spans="1:29" x14ac:dyDescent="0.2">
      <c r="A65" s="446"/>
      <c r="B65" s="180" t="s">
        <v>204</v>
      </c>
      <c r="C65" s="181" t="s">
        <v>205</v>
      </c>
      <c r="D65" s="182">
        <f t="shared" si="12"/>
        <v>0</v>
      </c>
      <c r="E65" s="183">
        <v>0</v>
      </c>
      <c r="F65" s="184">
        <f t="shared" si="5"/>
        <v>0</v>
      </c>
      <c r="G65" s="187"/>
      <c r="H65" s="388"/>
      <c r="I65" s="187"/>
      <c r="J65" s="186"/>
      <c r="K65" s="187"/>
      <c r="L65" s="186"/>
      <c r="M65" s="187"/>
      <c r="N65" s="186"/>
      <c r="O65" s="187"/>
      <c r="P65" s="186"/>
      <c r="Q65" s="187"/>
      <c r="R65" s="186"/>
      <c r="S65" s="187"/>
      <c r="T65" s="186"/>
      <c r="U65" s="187"/>
      <c r="V65" s="186"/>
      <c r="W65" s="187"/>
      <c r="X65" s="186"/>
      <c r="Y65" s="187"/>
      <c r="Z65" s="186"/>
      <c r="AA65" s="187"/>
      <c r="AB65" s="186"/>
    </row>
    <row r="66" spans="1:29" x14ac:dyDescent="0.2">
      <c r="A66" s="446"/>
      <c r="B66" s="180" t="s">
        <v>206</v>
      </c>
      <c r="C66" s="181" t="s">
        <v>207</v>
      </c>
      <c r="D66" s="182">
        <f t="shared" si="12"/>
        <v>1970</v>
      </c>
      <c r="E66" s="183">
        <v>1180</v>
      </c>
      <c r="F66" s="184">
        <f t="shared" si="5"/>
        <v>2145</v>
      </c>
      <c r="G66" s="187">
        <v>1000</v>
      </c>
      <c r="H66" s="388">
        <v>1175</v>
      </c>
      <c r="I66" s="187">
        <v>970</v>
      </c>
      <c r="J66" s="186">
        <v>970</v>
      </c>
      <c r="K66" s="187"/>
      <c r="L66" s="186"/>
      <c r="M66" s="187"/>
      <c r="N66" s="186"/>
      <c r="O66" s="187"/>
      <c r="P66" s="186"/>
      <c r="Q66" s="187"/>
      <c r="R66" s="186"/>
      <c r="S66" s="187"/>
      <c r="T66" s="186"/>
      <c r="U66" s="187"/>
      <c r="V66" s="186"/>
      <c r="W66" s="187"/>
      <c r="X66" s="186"/>
      <c r="Y66" s="187"/>
      <c r="Z66" s="186"/>
      <c r="AA66" s="187"/>
      <c r="AB66" s="186"/>
    </row>
    <row r="67" spans="1:29" x14ac:dyDescent="0.2">
      <c r="A67" s="446"/>
      <c r="B67" s="180" t="s">
        <v>208</v>
      </c>
      <c r="C67" s="181" t="s">
        <v>201</v>
      </c>
      <c r="D67" s="182">
        <f t="shared" si="12"/>
        <v>5870</v>
      </c>
      <c r="E67" s="183">
        <v>3370</v>
      </c>
      <c r="F67" s="184">
        <f t="shared" si="5"/>
        <v>4870</v>
      </c>
      <c r="G67" s="187">
        <v>2000</v>
      </c>
      <c r="H67" s="388">
        <v>1000</v>
      </c>
      <c r="I67" s="187"/>
      <c r="J67" s="186"/>
      <c r="K67" s="187"/>
      <c r="L67" s="186"/>
      <c r="M67" s="187"/>
      <c r="N67" s="186"/>
      <c r="O67" s="187">
        <v>3250</v>
      </c>
      <c r="P67" s="186">
        <v>3250</v>
      </c>
      <c r="Q67" s="187"/>
      <c r="R67" s="186"/>
      <c r="S67" s="187"/>
      <c r="T67" s="186"/>
      <c r="U67" s="187">
        <v>120</v>
      </c>
      <c r="V67" s="186">
        <v>120</v>
      </c>
      <c r="W67" s="187">
        <v>500</v>
      </c>
      <c r="X67" s="186">
        <v>500</v>
      </c>
      <c r="Y67" s="187"/>
      <c r="Z67" s="186"/>
      <c r="AA67" s="187"/>
      <c r="AB67" s="186"/>
    </row>
    <row r="68" spans="1:29" x14ac:dyDescent="0.2">
      <c r="A68" s="446"/>
      <c r="B68" s="190" t="s">
        <v>209</v>
      </c>
      <c r="C68" s="191" t="s">
        <v>210</v>
      </c>
      <c r="D68" s="215">
        <f t="shared" si="12"/>
        <v>0</v>
      </c>
      <c r="E68" s="216">
        <f>D68-F68</f>
        <v>0</v>
      </c>
      <c r="F68" s="217">
        <f t="shared" si="5"/>
        <v>0</v>
      </c>
      <c r="G68" s="197"/>
      <c r="H68" s="391"/>
      <c r="I68" s="197"/>
      <c r="J68" s="196"/>
      <c r="K68" s="197"/>
      <c r="L68" s="196"/>
      <c r="M68" s="197"/>
      <c r="N68" s="196"/>
      <c r="O68" s="197"/>
      <c r="P68" s="196"/>
      <c r="Q68" s="197"/>
      <c r="R68" s="196"/>
      <c r="S68" s="197"/>
      <c r="T68" s="196"/>
      <c r="U68" s="197"/>
      <c r="V68" s="196"/>
      <c r="W68" s="197"/>
      <c r="X68" s="196"/>
      <c r="Y68" s="197"/>
      <c r="Z68" s="196"/>
      <c r="AA68" s="197"/>
      <c r="AB68" s="196"/>
    </row>
    <row r="69" spans="1:29" s="152" customFormat="1" x14ac:dyDescent="0.2">
      <c r="A69" s="218">
        <v>761</v>
      </c>
      <c r="B69" s="228">
        <v>761</v>
      </c>
      <c r="C69" s="229" t="s">
        <v>211</v>
      </c>
      <c r="D69" s="219">
        <f t="shared" si="12"/>
        <v>80</v>
      </c>
      <c r="E69" s="219">
        <v>79</v>
      </c>
      <c r="F69" s="217">
        <f t="shared" si="5"/>
        <v>80</v>
      </c>
      <c r="G69" s="222">
        <v>80</v>
      </c>
      <c r="H69" s="231">
        <v>80</v>
      </c>
      <c r="I69" s="222"/>
      <c r="J69" s="232"/>
      <c r="K69" s="222"/>
      <c r="L69" s="231"/>
      <c r="M69" s="222"/>
      <c r="N69" s="231"/>
      <c r="O69" s="222"/>
      <c r="P69" s="231"/>
      <c r="Q69" s="222"/>
      <c r="R69" s="232"/>
      <c r="S69" s="222"/>
      <c r="T69" s="231"/>
      <c r="U69" s="222"/>
      <c r="V69" s="231"/>
      <c r="W69" s="222"/>
      <c r="X69" s="231"/>
      <c r="Y69" s="222"/>
      <c r="Z69" s="231"/>
      <c r="AA69" s="222"/>
      <c r="AB69" s="232"/>
      <c r="AC69" s="233"/>
    </row>
    <row r="70" spans="1:29" s="152" customFormat="1" ht="12.75" customHeight="1" x14ac:dyDescent="0.2">
      <c r="A70" s="447" t="s">
        <v>212</v>
      </c>
      <c r="B70" s="447"/>
      <c r="C70" s="447"/>
      <c r="D70" s="234">
        <f t="shared" ref="D70:AB70" si="14">D63+D60+D57+D52+D51+D47+D33+D30+D13+D7+D69</f>
        <v>688616</v>
      </c>
      <c r="E70" s="234">
        <f t="shared" si="14"/>
        <v>428300.84</v>
      </c>
      <c r="F70" s="235">
        <f t="shared" si="14"/>
        <v>677037</v>
      </c>
      <c r="G70" s="396">
        <f t="shared" si="14"/>
        <v>476691</v>
      </c>
      <c r="H70" s="397">
        <f t="shared" si="14"/>
        <v>464875</v>
      </c>
      <c r="I70" s="234">
        <f t="shared" si="14"/>
        <v>103000</v>
      </c>
      <c r="J70" s="235">
        <f t="shared" si="14"/>
        <v>102676</v>
      </c>
      <c r="K70" s="234">
        <f t="shared" si="14"/>
        <v>27772</v>
      </c>
      <c r="L70" s="234">
        <f t="shared" si="14"/>
        <v>26965</v>
      </c>
      <c r="M70" s="234">
        <f t="shared" si="14"/>
        <v>1575</v>
      </c>
      <c r="N70" s="234">
        <f t="shared" si="14"/>
        <v>3575</v>
      </c>
      <c r="O70" s="234">
        <f t="shared" si="14"/>
        <v>6250</v>
      </c>
      <c r="P70" s="234">
        <f t="shared" si="14"/>
        <v>7539</v>
      </c>
      <c r="Q70" s="234">
        <f t="shared" si="14"/>
        <v>19307</v>
      </c>
      <c r="R70" s="235">
        <f t="shared" si="14"/>
        <v>19407</v>
      </c>
      <c r="S70" s="234">
        <f t="shared" si="14"/>
        <v>4350</v>
      </c>
      <c r="T70" s="234">
        <f t="shared" si="14"/>
        <v>4350</v>
      </c>
      <c r="U70" s="234">
        <f t="shared" si="14"/>
        <v>30451</v>
      </c>
      <c r="V70" s="234">
        <f t="shared" si="14"/>
        <v>25130</v>
      </c>
      <c r="W70" s="234">
        <f t="shared" si="14"/>
        <v>3800</v>
      </c>
      <c r="X70" s="234">
        <f t="shared" si="14"/>
        <v>10720</v>
      </c>
      <c r="Y70" s="234">
        <f t="shared" si="14"/>
        <v>15420</v>
      </c>
      <c r="Z70" s="234">
        <f t="shared" si="14"/>
        <v>11800</v>
      </c>
      <c r="AA70" s="234">
        <f t="shared" si="14"/>
        <v>0</v>
      </c>
      <c r="AB70" s="235">
        <f t="shared" si="14"/>
        <v>0</v>
      </c>
      <c r="AC70" s="233"/>
    </row>
    <row r="71" spans="1:29" x14ac:dyDescent="0.2">
      <c r="C71" s="153" t="s">
        <v>213</v>
      </c>
      <c r="D71" s="155">
        <f>G70+I70+K70+M70+O70+Q70+S70+U70+W70+AA70+Y70</f>
        <v>688616</v>
      </c>
      <c r="F71" s="155">
        <f>H70+J70+L70+N70+P70+R70+T70+V70+X70+Z70+AB70</f>
        <v>677037</v>
      </c>
    </row>
    <row r="72" spans="1:29" x14ac:dyDescent="0.2">
      <c r="D72" s="155">
        <f>'PRZYCHODY 2016'!D5</f>
        <v>696016</v>
      </c>
      <c r="F72" s="155">
        <f>'projekt 2017 dochody'!F5</f>
        <v>677037</v>
      </c>
    </row>
    <row r="73" spans="1:29" x14ac:dyDescent="0.2">
      <c r="D73" s="155">
        <f>D71-D72</f>
        <v>-7400</v>
      </c>
      <c r="F73" s="155">
        <f>F71-F72</f>
        <v>0</v>
      </c>
    </row>
  </sheetData>
  <sheetProtection selectLockedCells="1" selectUnlockedCells="1"/>
  <mergeCells count="37">
    <mergeCell ref="B33:C33"/>
    <mergeCell ref="A47:A50"/>
    <mergeCell ref="B47:C47"/>
    <mergeCell ref="B51:C51"/>
    <mergeCell ref="A70:C70"/>
    <mergeCell ref="A57:A59"/>
    <mergeCell ref="B57:C57"/>
    <mergeCell ref="A60:A62"/>
    <mergeCell ref="B60:C60"/>
    <mergeCell ref="A63:A68"/>
    <mergeCell ref="B63:C63"/>
    <mergeCell ref="A52:A56"/>
    <mergeCell ref="B52:C52"/>
    <mergeCell ref="AA5:AB5"/>
    <mergeCell ref="A7:A12"/>
    <mergeCell ref="B7:C7"/>
    <mergeCell ref="A13:A29"/>
    <mergeCell ref="B13:C13"/>
    <mergeCell ref="A30:A32"/>
    <mergeCell ref="B30:C30"/>
    <mergeCell ref="A2:A6"/>
    <mergeCell ref="B2:B6"/>
    <mergeCell ref="C2:C6"/>
    <mergeCell ref="D3:F5"/>
    <mergeCell ref="G4:H5"/>
    <mergeCell ref="I4:J5"/>
    <mergeCell ref="A33:A46"/>
    <mergeCell ref="K4:R4"/>
    <mergeCell ref="S4:AB4"/>
    <mergeCell ref="K5:L5"/>
    <mergeCell ref="M5:N5"/>
    <mergeCell ref="O5:P5"/>
    <mergeCell ref="Q5:R5"/>
    <mergeCell ref="S5:T5"/>
    <mergeCell ref="U5:V5"/>
    <mergeCell ref="W5:X5"/>
    <mergeCell ref="Y5:Z5"/>
  </mergeCells>
  <pageMargins left="0.7" right="0.7" top="0.75" bottom="0.75" header="0.51180555555555551" footer="0.51180555555555551"/>
  <pageSetup paperSize="9" firstPageNumber="0" fitToWidth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workbookViewId="0">
      <selection activeCell="F7" sqref="F7"/>
    </sheetView>
  </sheetViews>
  <sheetFormatPr defaultColWidth="11.5703125" defaultRowHeight="18" x14ac:dyDescent="0.25"/>
  <cols>
    <col min="1" max="1" width="17.5703125" style="98" customWidth="1"/>
    <col min="2" max="2" width="16.140625" style="98" customWidth="1"/>
    <col min="3" max="3" width="50" style="98" customWidth="1"/>
    <col min="4" max="4" width="20" style="99" customWidth="1"/>
    <col min="5" max="5" width="21" style="100" customWidth="1"/>
    <col min="6" max="6" width="20" style="99" customWidth="1"/>
    <col min="8" max="16384" width="11.5703125" style="98"/>
  </cols>
  <sheetData>
    <row r="1" spans="1:7" x14ac:dyDescent="0.25">
      <c r="C1" s="102"/>
      <c r="D1" s="103"/>
      <c r="F1" s="103"/>
      <c r="G1" s="98"/>
    </row>
    <row r="2" spans="1:7" ht="6" customHeight="1" x14ac:dyDescent="0.25">
      <c r="C2" s="102"/>
      <c r="D2" s="103"/>
      <c r="F2" s="103"/>
      <c r="G2" s="98"/>
    </row>
    <row r="3" spans="1:7" ht="45" customHeight="1" x14ac:dyDescent="0.25">
      <c r="C3" s="468" t="s">
        <v>230</v>
      </c>
      <c r="D3" s="468"/>
      <c r="F3" s="156"/>
      <c r="G3" s="98"/>
    </row>
    <row r="4" spans="1:7" ht="45" customHeight="1" x14ac:dyDescent="0.25">
      <c r="A4" s="104" t="s">
        <v>51</v>
      </c>
      <c r="B4" s="105" t="s">
        <v>52</v>
      </c>
      <c r="C4" s="106" t="s">
        <v>53</v>
      </c>
      <c r="D4" s="106" t="s">
        <v>226</v>
      </c>
      <c r="E4" s="398" t="s">
        <v>231</v>
      </c>
      <c r="F4" s="399" t="s">
        <v>232</v>
      </c>
      <c r="G4" s="98"/>
    </row>
    <row r="5" spans="1:7" x14ac:dyDescent="0.25">
      <c r="A5" s="430" t="s">
        <v>57</v>
      </c>
      <c r="B5" s="430"/>
      <c r="C5" s="430"/>
      <c r="D5" s="109">
        <f>D6+D14</f>
        <v>688616</v>
      </c>
      <c r="E5" s="400">
        <f>E6+E14</f>
        <v>519568.29</v>
      </c>
      <c r="F5" s="401">
        <f>F6+F14</f>
        <v>677037</v>
      </c>
      <c r="G5" s="98"/>
    </row>
    <row r="6" spans="1:7" x14ac:dyDescent="0.25">
      <c r="A6" s="111"/>
      <c r="B6" s="112"/>
      <c r="C6" s="113" t="s">
        <v>58</v>
      </c>
      <c r="D6" s="114">
        <f>SUM(D7:D12)</f>
        <v>26616</v>
      </c>
      <c r="E6" s="402">
        <f>SUM(E7:E12)</f>
        <v>23074.29</v>
      </c>
      <c r="F6" s="403">
        <f>SUM(F7:F12)</f>
        <v>20800</v>
      </c>
      <c r="G6" s="98"/>
    </row>
    <row r="7" spans="1:7" x14ac:dyDescent="0.25">
      <c r="A7" s="431">
        <v>710</v>
      </c>
      <c r="B7" s="118" t="s">
        <v>59</v>
      </c>
      <c r="C7" s="119" t="s">
        <v>60</v>
      </c>
      <c r="D7" s="120">
        <v>15000</v>
      </c>
      <c r="E7" s="404">
        <v>11712.5</v>
      </c>
      <c r="F7" s="405">
        <v>15000</v>
      </c>
      <c r="G7" s="98"/>
    </row>
    <row r="8" spans="1:7" x14ac:dyDescent="0.25">
      <c r="A8" s="431"/>
      <c r="B8" s="122" t="s">
        <v>61</v>
      </c>
      <c r="C8" s="123" t="s">
        <v>62</v>
      </c>
      <c r="D8" s="124">
        <v>500</v>
      </c>
      <c r="E8" s="406">
        <v>298.60000000000002</v>
      </c>
      <c r="F8" s="407">
        <v>500</v>
      </c>
      <c r="G8" s="98"/>
    </row>
    <row r="9" spans="1:7" x14ac:dyDescent="0.25">
      <c r="A9" s="431"/>
      <c r="B9" s="126" t="s">
        <v>63</v>
      </c>
      <c r="C9" s="127" t="s">
        <v>64</v>
      </c>
      <c r="D9" s="128">
        <v>300</v>
      </c>
      <c r="E9" s="408">
        <v>300</v>
      </c>
      <c r="F9" s="407">
        <v>300</v>
      </c>
      <c r="G9" s="98"/>
    </row>
    <row r="10" spans="1:7" x14ac:dyDescent="0.25">
      <c r="A10" s="117">
        <v>750</v>
      </c>
      <c r="B10" s="130" t="s">
        <v>65</v>
      </c>
      <c r="C10" s="130" t="s">
        <v>66</v>
      </c>
      <c r="D10" s="131">
        <v>1000</v>
      </c>
      <c r="E10" s="409">
        <v>947.06</v>
      </c>
      <c r="F10" s="410">
        <v>1000</v>
      </c>
      <c r="G10" s="98"/>
    </row>
    <row r="11" spans="1:7" x14ac:dyDescent="0.25">
      <c r="A11" s="432">
        <v>760</v>
      </c>
      <c r="B11" s="119" t="s">
        <v>67</v>
      </c>
      <c r="C11" s="119" t="s">
        <v>233</v>
      </c>
      <c r="D11" s="120">
        <v>9800</v>
      </c>
      <c r="E11" s="404">
        <v>9800</v>
      </c>
      <c r="F11" s="405">
        <v>4000</v>
      </c>
      <c r="G11" s="98"/>
    </row>
    <row r="12" spans="1:7" x14ac:dyDescent="0.25">
      <c r="A12" s="432"/>
      <c r="B12" s="136" t="s">
        <v>69</v>
      </c>
      <c r="C12" s="136" t="s">
        <v>70</v>
      </c>
      <c r="D12" s="137">
        <v>16</v>
      </c>
      <c r="E12" s="411">
        <v>16.13</v>
      </c>
      <c r="F12" s="412">
        <v>0</v>
      </c>
      <c r="G12" s="98"/>
    </row>
    <row r="13" spans="1:7" ht="2.65" customHeight="1" x14ac:dyDescent="0.25">
      <c r="A13" s="140"/>
      <c r="B13" s="140"/>
      <c r="C13" s="140" t="s">
        <v>71</v>
      </c>
      <c r="D13" s="141"/>
      <c r="E13" s="142"/>
      <c r="F13" s="141"/>
      <c r="G13" s="98"/>
    </row>
    <row r="14" spans="1:7" x14ac:dyDescent="0.25">
      <c r="A14" s="433">
        <v>740</v>
      </c>
      <c r="B14" s="143"/>
      <c r="C14" s="144" t="s">
        <v>72</v>
      </c>
      <c r="D14" s="145">
        <f>SUM(D15:D16)</f>
        <v>662000</v>
      </c>
      <c r="E14" s="146">
        <f>SUM(E15:E16)</f>
        <v>496494</v>
      </c>
      <c r="F14" s="413">
        <f>SUM(F15:F16)</f>
        <v>656237</v>
      </c>
      <c r="G14" s="98"/>
    </row>
    <row r="15" spans="1:7" x14ac:dyDescent="0.25">
      <c r="A15" s="433"/>
      <c r="B15" s="123" t="s">
        <v>73</v>
      </c>
      <c r="C15" s="123" t="s">
        <v>74</v>
      </c>
      <c r="D15" s="124">
        <v>662000</v>
      </c>
      <c r="E15" s="148">
        <v>496494</v>
      </c>
      <c r="F15" s="407">
        <v>656237</v>
      </c>
      <c r="G15" s="98"/>
    </row>
    <row r="16" spans="1:7" x14ac:dyDescent="0.25">
      <c r="A16" s="433"/>
      <c r="B16" s="123"/>
      <c r="C16" s="123" t="s">
        <v>75</v>
      </c>
      <c r="D16" s="149">
        <v>0</v>
      </c>
      <c r="E16" s="148"/>
      <c r="F16" s="414"/>
      <c r="G16" s="98"/>
    </row>
    <row r="17" spans="1:6" s="98" customFormat="1" x14ac:dyDescent="0.25">
      <c r="A17" s="433"/>
      <c r="B17" s="123"/>
      <c r="C17" s="123"/>
      <c r="D17" s="124"/>
      <c r="E17" s="148"/>
      <c r="F17" s="407"/>
    </row>
    <row r="18" spans="1:6" s="98" customFormat="1" x14ac:dyDescent="0.25">
      <c r="A18" s="433"/>
      <c r="B18" s="123"/>
      <c r="C18" s="123"/>
      <c r="D18" s="124"/>
      <c r="E18" s="148"/>
      <c r="F18" s="407"/>
    </row>
    <row r="19" spans="1:6" s="98" customFormat="1" x14ac:dyDescent="0.25">
      <c r="A19" s="433"/>
      <c r="B19" s="123"/>
      <c r="C19" s="123"/>
      <c r="D19" s="124"/>
      <c r="E19" s="148"/>
      <c r="F19" s="407"/>
    </row>
    <row r="20" spans="1:6" s="98" customFormat="1" x14ac:dyDescent="0.25">
      <c r="A20" s="433"/>
      <c r="B20" s="136"/>
      <c r="C20" s="136"/>
      <c r="D20" s="137"/>
      <c r="E20" s="139"/>
      <c r="F20" s="412"/>
    </row>
  </sheetData>
  <sheetProtection selectLockedCells="1" selectUnlockedCells="1"/>
  <mergeCells count="5">
    <mergeCell ref="C3:D3"/>
    <mergeCell ref="A5:C5"/>
    <mergeCell ref="A7:A9"/>
    <mergeCell ref="A11:A12"/>
    <mergeCell ref="A14:A20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4</vt:i4>
      </vt:variant>
    </vt:vector>
  </HeadingPairs>
  <TitlesOfParts>
    <vt:vector size="10" baseType="lpstr">
      <vt:lpstr>Arkusz4</vt:lpstr>
      <vt:lpstr>PRZYCHODY 2016</vt:lpstr>
      <vt:lpstr>WYDATKI 2016</vt:lpstr>
      <vt:lpstr>WYNAGRODZENIA</vt:lpstr>
      <vt:lpstr>projekt wydatków 2017</vt:lpstr>
      <vt:lpstr>projekt 2017 dochody</vt:lpstr>
      <vt:lpstr>Excel_BuiltIn__FilterDatabase</vt:lpstr>
      <vt:lpstr>Excel_BuiltIn__FilterDatabase_1</vt:lpstr>
      <vt:lpstr>'PRZYCHODY 2016'!Obszar_wydruku</vt:lpstr>
      <vt:lpstr>WYNAGRODZENIA!Obszar_wydruku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Gminny Ośrodek Kultury i Sportu</dc:creator>
  <cp:lastModifiedBy>p34</cp:lastModifiedBy>
  <dcterms:created xsi:type="dcterms:W3CDTF">2017-04-03T11:22:09Z</dcterms:created>
  <dcterms:modified xsi:type="dcterms:W3CDTF">2017-04-04T04:59:00Z</dcterms:modified>
</cp:coreProperties>
</file>